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450" yWindow="480" windowWidth="26460" windowHeight="11805" tabRatio="603" activeTab="3"/>
  </bookViews>
  <sheets>
    <sheet name="Приложение 1 (таблица 1)" sheetId="12" r:id="rId1"/>
    <sheet name="Приложение 2 (таблица 2)" sheetId="13" r:id="rId2"/>
    <sheet name="Приложение 3 (таблица 3) " sheetId="15" r:id="rId3"/>
    <sheet name="Приложение 4 (таблица 6)" sheetId="14" r:id="rId4"/>
  </sheets>
  <definedNames>
    <definedName name="_xlnm.Print_Titles" localSheetId="1">'Приложение 2 (таблица 2)'!$8:$11</definedName>
    <definedName name="_xlnm.Print_Titles" localSheetId="2">'Приложение 3 (таблица 3) '!$10:$11</definedName>
    <definedName name="_xlnm.Print_Titles" localSheetId="3">'Приложение 4 (таблица 6)'!$11:$13</definedName>
    <definedName name="_xlnm.Print_Area" localSheetId="0">'Приложение 1 (таблица 1)'!$A$1:$K$72</definedName>
    <definedName name="_xlnm.Print_Area" localSheetId="1">'Приложение 2 (таблица 2)'!$A$1:$Q$158</definedName>
  </definedNames>
  <calcPr calcId="144525"/>
</workbook>
</file>

<file path=xl/calcChain.xml><?xml version="1.0" encoding="utf-8"?>
<calcChain xmlns="http://schemas.openxmlformats.org/spreadsheetml/2006/main">
  <c r="J72" i="12" l="1"/>
  <c r="P14" i="14" l="1"/>
  <c r="J18" i="12"/>
  <c r="Q13" i="13" l="1"/>
  <c r="L36" i="13"/>
  <c r="D39" i="14" l="1"/>
  <c r="C39" i="14"/>
  <c r="H32" i="14"/>
  <c r="I32" i="14" s="1"/>
  <c r="J32" i="14" s="1"/>
  <c r="K32" i="14" s="1"/>
  <c r="L32" i="14" s="1"/>
  <c r="M32" i="14" s="1"/>
  <c r="N32" i="14" s="1"/>
  <c r="O32" i="14" s="1"/>
  <c r="P32" i="14" s="1"/>
  <c r="G32" i="14"/>
  <c r="F32" i="14"/>
  <c r="E32" i="14"/>
  <c r="D32" i="14"/>
  <c r="C32" i="14"/>
  <c r="I31" i="14"/>
  <c r="C30" i="14"/>
  <c r="I29" i="14"/>
  <c r="H28" i="14"/>
  <c r="I28" i="14" s="1"/>
  <c r="J28" i="14" s="1"/>
  <c r="K28" i="14" s="1"/>
  <c r="L28" i="14" s="1"/>
  <c r="M28" i="14" s="1"/>
  <c r="N28" i="14" s="1"/>
  <c r="O28" i="14" s="1"/>
  <c r="P28" i="14" s="1"/>
  <c r="G28" i="14"/>
  <c r="C28" i="14"/>
  <c r="P25" i="14"/>
  <c r="I25" i="14"/>
  <c r="F25" i="14"/>
  <c r="G25" i="14" s="1"/>
  <c r="D24" i="14"/>
  <c r="E24" i="14" s="1"/>
  <c r="P24" i="14" s="1"/>
  <c r="P23" i="14"/>
  <c r="O23" i="14"/>
  <c r="N23" i="14"/>
  <c r="M23" i="14"/>
  <c r="L23" i="14"/>
  <c r="K23" i="14"/>
  <c r="J23" i="14"/>
  <c r="H23" i="14"/>
  <c r="E23" i="14"/>
  <c r="G152" i="13" l="1"/>
  <c r="G149" i="13" s="1"/>
  <c r="F152" i="13"/>
  <c r="E151" i="13"/>
  <c r="Q149" i="13"/>
  <c r="P149" i="13"/>
  <c r="O149" i="13"/>
  <c r="N149" i="13"/>
  <c r="M149" i="13"/>
  <c r="L149" i="13"/>
  <c r="K149" i="13"/>
  <c r="J149" i="13"/>
  <c r="I149" i="13"/>
  <c r="H149" i="13"/>
  <c r="F149" i="13"/>
  <c r="E148" i="13"/>
  <c r="H144" i="13"/>
  <c r="E142" i="13"/>
  <c r="E139" i="13"/>
  <c r="E137" i="13"/>
  <c r="E136" i="13"/>
  <c r="E135" i="13"/>
  <c r="K133" i="13"/>
  <c r="J133" i="13"/>
  <c r="I133" i="13"/>
  <c r="H133" i="13"/>
  <c r="Q127" i="13"/>
  <c r="P127" i="13"/>
  <c r="O127" i="13"/>
  <c r="N127" i="13"/>
  <c r="M127" i="13"/>
  <c r="L127" i="13"/>
  <c r="K127" i="13"/>
  <c r="J127" i="13"/>
  <c r="I127" i="13"/>
  <c r="H127" i="13"/>
  <c r="G127" i="13"/>
  <c r="F127" i="13"/>
  <c r="Q126" i="13"/>
  <c r="P126" i="13"/>
  <c r="O126" i="13"/>
  <c r="N126" i="13"/>
  <c r="M126" i="13"/>
  <c r="L126" i="13"/>
  <c r="K126" i="13"/>
  <c r="J126" i="13"/>
  <c r="I126" i="13"/>
  <c r="Q125" i="13"/>
  <c r="P125" i="13"/>
  <c r="O125" i="13"/>
  <c r="N125" i="13"/>
  <c r="M125" i="13"/>
  <c r="L125" i="13"/>
  <c r="K125" i="13"/>
  <c r="J125" i="13"/>
  <c r="I125" i="13"/>
  <c r="H125" i="13"/>
  <c r="G125" i="13"/>
  <c r="E124" i="13"/>
  <c r="E122" i="13"/>
  <c r="H121" i="13"/>
  <c r="E120" i="13"/>
  <c r="E119" i="13"/>
  <c r="Q118" i="13"/>
  <c r="P118" i="13"/>
  <c r="O118" i="13"/>
  <c r="N118" i="13"/>
  <c r="M118" i="13"/>
  <c r="L118" i="13"/>
  <c r="K118" i="13"/>
  <c r="J118" i="13"/>
  <c r="I118" i="13"/>
  <c r="G118" i="13"/>
  <c r="F118" i="13"/>
  <c r="E117" i="13"/>
  <c r="E116" i="13"/>
  <c r="E115" i="13"/>
  <c r="E114" i="13"/>
  <c r="Q113" i="13"/>
  <c r="P113" i="13"/>
  <c r="O113" i="13"/>
  <c r="N113" i="13"/>
  <c r="M113" i="13"/>
  <c r="L113" i="13"/>
  <c r="K113" i="13"/>
  <c r="J113" i="13"/>
  <c r="I113" i="13"/>
  <c r="H113" i="13"/>
  <c r="G113" i="13"/>
  <c r="F113" i="13"/>
  <c r="E112" i="13"/>
  <c r="F111" i="13"/>
  <c r="F108" i="13" s="1"/>
  <c r="E110" i="13"/>
  <c r="E109" i="13"/>
  <c r="Q108" i="13"/>
  <c r="P108" i="13"/>
  <c r="O108" i="13"/>
  <c r="N108" i="13"/>
  <c r="M108" i="13"/>
  <c r="L108" i="13"/>
  <c r="K108" i="13"/>
  <c r="J108" i="13"/>
  <c r="I108" i="13"/>
  <c r="H108" i="13"/>
  <c r="G108" i="13"/>
  <c r="E107" i="13"/>
  <c r="E106" i="13"/>
  <c r="F105" i="13"/>
  <c r="E105" i="13" s="1"/>
  <c r="E104" i="13"/>
  <c r="Q103" i="13"/>
  <c r="P103" i="13"/>
  <c r="O103" i="13"/>
  <c r="N103" i="13"/>
  <c r="M103" i="13"/>
  <c r="L103" i="13"/>
  <c r="K103" i="13"/>
  <c r="J103" i="13"/>
  <c r="I103" i="13"/>
  <c r="H103" i="13"/>
  <c r="G103" i="13"/>
  <c r="E102" i="13"/>
  <c r="H101" i="13"/>
  <c r="E100" i="13"/>
  <c r="E99" i="13"/>
  <c r="Q98" i="13"/>
  <c r="P98" i="13"/>
  <c r="O98" i="13"/>
  <c r="N98" i="13"/>
  <c r="M98" i="13"/>
  <c r="L98" i="13"/>
  <c r="K98" i="13"/>
  <c r="J98" i="13"/>
  <c r="I98" i="13"/>
  <c r="G98" i="13"/>
  <c r="F98" i="13"/>
  <c r="E97" i="13"/>
  <c r="G96" i="13"/>
  <c r="G126" i="13" s="1"/>
  <c r="F96" i="13"/>
  <c r="E95" i="13"/>
  <c r="E94" i="13"/>
  <c r="Q93" i="13"/>
  <c r="P93" i="13"/>
  <c r="O93" i="13"/>
  <c r="N93" i="13"/>
  <c r="M93" i="13"/>
  <c r="L93" i="13"/>
  <c r="K93" i="13"/>
  <c r="J93" i="13"/>
  <c r="I93" i="13"/>
  <c r="H93" i="13"/>
  <c r="E92" i="13"/>
  <c r="F91" i="13"/>
  <c r="E91" i="13" s="1"/>
  <c r="F90" i="13"/>
  <c r="E90" i="13" s="1"/>
  <c r="E89" i="13"/>
  <c r="Q88" i="13"/>
  <c r="P88" i="13"/>
  <c r="O88" i="13"/>
  <c r="N88" i="13"/>
  <c r="M88" i="13"/>
  <c r="L88" i="13"/>
  <c r="K88" i="13"/>
  <c r="J88" i="13"/>
  <c r="I88" i="13"/>
  <c r="H88" i="13"/>
  <c r="G88" i="13"/>
  <c r="E87" i="13"/>
  <c r="F86" i="13"/>
  <c r="F83" i="13" s="1"/>
  <c r="E85" i="13"/>
  <c r="E84" i="13"/>
  <c r="Q83" i="13"/>
  <c r="P83" i="13"/>
  <c r="O83" i="13"/>
  <c r="N83" i="13"/>
  <c r="M83" i="13"/>
  <c r="L83" i="13"/>
  <c r="K83" i="13"/>
  <c r="J83" i="13"/>
  <c r="I83" i="13"/>
  <c r="H83" i="13"/>
  <c r="G83" i="13"/>
  <c r="E82" i="13"/>
  <c r="F81" i="13"/>
  <c r="F78" i="13" s="1"/>
  <c r="E80" i="13"/>
  <c r="E79" i="13"/>
  <c r="Q78" i="13"/>
  <c r="P78" i="13"/>
  <c r="O78" i="13"/>
  <c r="N78" i="13"/>
  <c r="M78" i="13"/>
  <c r="L78" i="13"/>
  <c r="K78" i="13"/>
  <c r="J78" i="13"/>
  <c r="I78" i="13"/>
  <c r="H78" i="13"/>
  <c r="G78" i="13"/>
  <c r="E77" i="13"/>
  <c r="F76" i="13"/>
  <c r="E76" i="13" s="1"/>
  <c r="E75" i="13"/>
  <c r="E74" i="13"/>
  <c r="Q73" i="13"/>
  <c r="P73" i="13"/>
  <c r="O73" i="13"/>
  <c r="N73" i="13"/>
  <c r="M73" i="13"/>
  <c r="L73" i="13"/>
  <c r="K73" i="13"/>
  <c r="J73" i="13"/>
  <c r="I73" i="13"/>
  <c r="H73" i="13"/>
  <c r="G73" i="13"/>
  <c r="Q71" i="13"/>
  <c r="P71" i="13"/>
  <c r="O71" i="13"/>
  <c r="N71" i="13"/>
  <c r="M71" i="13"/>
  <c r="L71" i="13"/>
  <c r="K71" i="13"/>
  <c r="J71" i="13"/>
  <c r="I71" i="13"/>
  <c r="H71" i="13"/>
  <c r="G71" i="13"/>
  <c r="F71" i="13"/>
  <c r="Q70" i="13"/>
  <c r="P70" i="13"/>
  <c r="O70" i="13"/>
  <c r="N70" i="13"/>
  <c r="M70" i="13"/>
  <c r="L70" i="13"/>
  <c r="K70" i="13"/>
  <c r="J70" i="13"/>
  <c r="I70" i="13"/>
  <c r="H70" i="13"/>
  <c r="G70" i="13"/>
  <c r="F70" i="13"/>
  <c r="Q69" i="13"/>
  <c r="P69" i="13"/>
  <c r="O69" i="13"/>
  <c r="N69" i="13"/>
  <c r="M69" i="13"/>
  <c r="L69" i="13"/>
  <c r="K69" i="13"/>
  <c r="J69" i="13"/>
  <c r="I69" i="13"/>
  <c r="H69" i="13"/>
  <c r="G69" i="13"/>
  <c r="F69" i="13"/>
  <c r="Q68" i="13"/>
  <c r="P68" i="13"/>
  <c r="O68" i="13"/>
  <c r="N68" i="13"/>
  <c r="M68" i="13"/>
  <c r="M67" i="13" s="1"/>
  <c r="L68" i="13"/>
  <c r="L67" i="13" s="1"/>
  <c r="K68" i="13"/>
  <c r="J68" i="13"/>
  <c r="I68" i="13"/>
  <c r="I67" i="13" s="1"/>
  <c r="H68" i="13"/>
  <c r="H67" i="13" s="1"/>
  <c r="G68" i="13"/>
  <c r="F68" i="13"/>
  <c r="Q67" i="13"/>
  <c r="P67" i="13"/>
  <c r="E66" i="13"/>
  <c r="E65" i="13"/>
  <c r="E64" i="13"/>
  <c r="E63" i="13"/>
  <c r="Q62" i="13"/>
  <c r="P62" i="13"/>
  <c r="O62" i="13"/>
  <c r="N62" i="13"/>
  <c r="M62" i="13"/>
  <c r="L62" i="13"/>
  <c r="K62" i="13"/>
  <c r="J62" i="13"/>
  <c r="I62" i="13"/>
  <c r="H62" i="13"/>
  <c r="G62" i="13"/>
  <c r="F62" i="13"/>
  <c r="Q60" i="13"/>
  <c r="P60" i="13"/>
  <c r="O60" i="13"/>
  <c r="N60" i="13"/>
  <c r="M60" i="13"/>
  <c r="L60" i="13"/>
  <c r="K60" i="13"/>
  <c r="J60" i="13"/>
  <c r="I60" i="13"/>
  <c r="H60" i="13"/>
  <c r="G60" i="13"/>
  <c r="F60" i="13"/>
  <c r="Q59" i="13"/>
  <c r="P59" i="13"/>
  <c r="O59" i="13"/>
  <c r="N59" i="13"/>
  <c r="M59" i="13"/>
  <c r="J59" i="13"/>
  <c r="G59" i="13"/>
  <c r="Q58" i="13"/>
  <c r="P58" i="13"/>
  <c r="O58" i="13"/>
  <c r="N58" i="13"/>
  <c r="M58" i="13"/>
  <c r="L58" i="13"/>
  <c r="K58" i="13"/>
  <c r="J58" i="13"/>
  <c r="I58" i="13"/>
  <c r="G58" i="13"/>
  <c r="Q57" i="13"/>
  <c r="P57" i="13"/>
  <c r="O57" i="13"/>
  <c r="N57" i="13"/>
  <c r="M57" i="13"/>
  <c r="L57" i="13"/>
  <c r="K57" i="13"/>
  <c r="J57" i="13"/>
  <c r="I57" i="13"/>
  <c r="H57" i="13"/>
  <c r="G57" i="13"/>
  <c r="F57" i="13"/>
  <c r="E55" i="13"/>
  <c r="L54" i="13"/>
  <c r="L51" i="13" s="1"/>
  <c r="K54" i="13"/>
  <c r="K59" i="13" s="1"/>
  <c r="I54" i="13"/>
  <c r="I59" i="13" s="1"/>
  <c r="H54" i="13"/>
  <c r="H59" i="13" s="1"/>
  <c r="F54" i="13"/>
  <c r="F59" i="13" s="1"/>
  <c r="H53" i="13"/>
  <c r="F53" i="13"/>
  <c r="F58" i="13" s="1"/>
  <c r="E52" i="13"/>
  <c r="Q51" i="13"/>
  <c r="P51" i="13"/>
  <c r="O51" i="13"/>
  <c r="N51" i="13"/>
  <c r="M51" i="13"/>
  <c r="J51" i="13"/>
  <c r="I51" i="13"/>
  <c r="G51" i="13"/>
  <c r="Q48" i="13"/>
  <c r="P48" i="13"/>
  <c r="O48" i="13"/>
  <c r="N48" i="13"/>
  <c r="M48" i="13"/>
  <c r="L48" i="13"/>
  <c r="K48" i="13"/>
  <c r="J48" i="13"/>
  <c r="I48" i="13"/>
  <c r="H48" i="13"/>
  <c r="G48" i="13"/>
  <c r="F48" i="13"/>
  <c r="Q47" i="13"/>
  <c r="P47" i="13"/>
  <c r="O47" i="13"/>
  <c r="N47" i="13"/>
  <c r="M47" i="13"/>
  <c r="L47" i="13"/>
  <c r="K47" i="13"/>
  <c r="J47" i="13"/>
  <c r="I47" i="13"/>
  <c r="H47" i="13"/>
  <c r="G47" i="13"/>
  <c r="F47" i="13"/>
  <c r="Q46" i="13"/>
  <c r="P46" i="13"/>
  <c r="O46" i="13"/>
  <c r="N46" i="13"/>
  <c r="M46" i="13"/>
  <c r="L46" i="13"/>
  <c r="K46" i="13"/>
  <c r="J46" i="13"/>
  <c r="I46" i="13"/>
  <c r="H46" i="13"/>
  <c r="G46" i="13"/>
  <c r="F46" i="13"/>
  <c r="Q45" i="13"/>
  <c r="P45" i="13"/>
  <c r="P44" i="13" s="1"/>
  <c r="O45" i="13"/>
  <c r="O44" i="13" s="1"/>
  <c r="N45" i="13"/>
  <c r="M45" i="13"/>
  <c r="L45" i="13"/>
  <c r="L44" i="13" s="1"/>
  <c r="K45" i="13"/>
  <c r="J45" i="13"/>
  <c r="I45" i="13"/>
  <c r="H45" i="13"/>
  <c r="H44" i="13" s="1"/>
  <c r="G45" i="13"/>
  <c r="G44" i="13" s="1"/>
  <c r="F45" i="13"/>
  <c r="E43" i="13"/>
  <c r="E42" i="13"/>
  <c r="E41" i="13"/>
  <c r="E40" i="13"/>
  <c r="Q39" i="13"/>
  <c r="P39" i="13"/>
  <c r="O39" i="13"/>
  <c r="N39" i="13"/>
  <c r="M39" i="13"/>
  <c r="L39" i="13"/>
  <c r="K39" i="13"/>
  <c r="J39" i="13"/>
  <c r="I39" i="13"/>
  <c r="H39" i="13"/>
  <c r="G39" i="13"/>
  <c r="F39" i="13"/>
  <c r="Q36" i="13"/>
  <c r="P36" i="13"/>
  <c r="O36" i="13"/>
  <c r="N36" i="13"/>
  <c r="M36" i="13"/>
  <c r="K36" i="13"/>
  <c r="J36" i="13"/>
  <c r="I36" i="13"/>
  <c r="H36" i="13"/>
  <c r="Q35" i="13"/>
  <c r="P35" i="13"/>
  <c r="O35" i="13"/>
  <c r="N35" i="13"/>
  <c r="M35" i="13"/>
  <c r="L35" i="13"/>
  <c r="K35" i="13"/>
  <c r="J35" i="13"/>
  <c r="I35" i="13"/>
  <c r="H35" i="13"/>
  <c r="G35" i="13"/>
  <c r="F35" i="13"/>
  <c r="Q34" i="13"/>
  <c r="P34" i="13"/>
  <c r="O34" i="13"/>
  <c r="N34" i="13"/>
  <c r="M34" i="13"/>
  <c r="L34" i="13"/>
  <c r="K34" i="13"/>
  <c r="J34" i="13"/>
  <c r="I34" i="13"/>
  <c r="H34" i="13"/>
  <c r="G34" i="13"/>
  <c r="F34" i="13"/>
  <c r="P32" i="13"/>
  <c r="E31" i="13"/>
  <c r="E30" i="13"/>
  <c r="E29" i="13"/>
  <c r="E27" i="13"/>
  <c r="F26" i="13"/>
  <c r="E26" i="13" s="1"/>
  <c r="E25" i="13"/>
  <c r="E24" i="13"/>
  <c r="Q23" i="13"/>
  <c r="P23" i="13"/>
  <c r="O23" i="13"/>
  <c r="N23" i="13"/>
  <c r="M23" i="13"/>
  <c r="L23" i="13"/>
  <c r="K23" i="13"/>
  <c r="J23" i="13"/>
  <c r="I23" i="13"/>
  <c r="H23" i="13"/>
  <c r="G23" i="13"/>
  <c r="G21" i="13"/>
  <c r="F21" i="13"/>
  <c r="E20" i="13"/>
  <c r="E19" i="13"/>
  <c r="E17" i="13"/>
  <c r="E16" i="13"/>
  <c r="E15" i="13"/>
  <c r="E14" i="13"/>
  <c r="P13" i="13"/>
  <c r="O13" i="13"/>
  <c r="N13" i="13"/>
  <c r="M13" i="13"/>
  <c r="L13" i="13"/>
  <c r="K13" i="13"/>
  <c r="J13" i="13"/>
  <c r="I13" i="13"/>
  <c r="H13" i="13"/>
  <c r="G13" i="13"/>
  <c r="F13" i="13"/>
  <c r="E152" i="13" l="1"/>
  <c r="E149" i="13" s="1"/>
  <c r="E21" i="13"/>
  <c r="O18" i="13"/>
  <c r="Q37" i="13"/>
  <c r="Q132" i="13" s="1"/>
  <c r="E46" i="13"/>
  <c r="I56" i="13"/>
  <c r="M56" i="13"/>
  <c r="Q56" i="13"/>
  <c r="G93" i="13"/>
  <c r="N56" i="13"/>
  <c r="E96" i="13"/>
  <c r="E93" i="13" s="1"/>
  <c r="H126" i="13"/>
  <c r="H123" i="13" s="1"/>
  <c r="J130" i="13"/>
  <c r="J146" i="13" s="1"/>
  <c r="N130" i="13"/>
  <c r="E53" i="13"/>
  <c r="K56" i="13"/>
  <c r="E133" i="13"/>
  <c r="G129" i="13"/>
  <c r="K129" i="13"/>
  <c r="O129" i="13"/>
  <c r="L123" i="13"/>
  <c r="P123" i="13"/>
  <c r="K123" i="13"/>
  <c r="O123" i="13"/>
  <c r="E127" i="13"/>
  <c r="P28" i="13"/>
  <c r="O32" i="13"/>
  <c r="O28" i="13" s="1"/>
  <c r="J56" i="13"/>
  <c r="F93" i="13"/>
  <c r="Q28" i="13"/>
  <c r="H58" i="13"/>
  <c r="H56" i="13" s="1"/>
  <c r="L130" i="13"/>
  <c r="L140" i="13" s="1"/>
  <c r="E81" i="13"/>
  <c r="E78" i="13" s="1"/>
  <c r="E86" i="13"/>
  <c r="E83" i="13" s="1"/>
  <c r="H51" i="13"/>
  <c r="E62" i="13"/>
  <c r="E73" i="13"/>
  <c r="F56" i="13"/>
  <c r="Q18" i="13"/>
  <c r="F23" i="13"/>
  <c r="E23" i="13"/>
  <c r="O56" i="13"/>
  <c r="J131" i="13"/>
  <c r="N131" i="13"/>
  <c r="E48" i="13"/>
  <c r="K44" i="13"/>
  <c r="K51" i="13"/>
  <c r="K67" i="13"/>
  <c r="O67" i="13"/>
  <c r="F103" i="13"/>
  <c r="E103" i="13"/>
  <c r="E113" i="13"/>
  <c r="F125" i="13"/>
  <c r="F130" i="13" s="1"/>
  <c r="F146" i="13" s="1"/>
  <c r="J123" i="13"/>
  <c r="N123" i="13"/>
  <c r="E39" i="13"/>
  <c r="F51" i="13"/>
  <c r="E71" i="13"/>
  <c r="Q129" i="13"/>
  <c r="K131" i="13"/>
  <c r="E57" i="13"/>
  <c r="G56" i="13"/>
  <c r="P130" i="13"/>
  <c r="G123" i="13"/>
  <c r="H98" i="13"/>
  <c r="E101" i="13"/>
  <c r="E98" i="13" s="1"/>
  <c r="G67" i="13"/>
  <c r="E69" i="13"/>
  <c r="E121" i="13"/>
  <c r="E118" i="13" s="1"/>
  <c r="H118" i="13"/>
  <c r="I129" i="13"/>
  <c r="O131" i="13"/>
  <c r="K130" i="13"/>
  <c r="G36" i="13"/>
  <c r="G131" i="13" s="1"/>
  <c r="G147" i="13" s="1"/>
  <c r="L59" i="13"/>
  <c r="E59" i="13" s="1"/>
  <c r="I123" i="13"/>
  <c r="Q123" i="13"/>
  <c r="H129" i="13"/>
  <c r="L129" i="13"/>
  <c r="P129" i="13"/>
  <c r="E45" i="13"/>
  <c r="F44" i="13"/>
  <c r="F129" i="13"/>
  <c r="J44" i="13"/>
  <c r="J129" i="13"/>
  <c r="N44" i="13"/>
  <c r="N129" i="13"/>
  <c r="I44" i="13"/>
  <c r="I130" i="13"/>
  <c r="M130" i="13"/>
  <c r="M44" i="13"/>
  <c r="Q130" i="13"/>
  <c r="Q44" i="13"/>
  <c r="P131" i="13"/>
  <c r="F36" i="13"/>
  <c r="G130" i="13"/>
  <c r="G146" i="13" s="1"/>
  <c r="O130" i="13"/>
  <c r="M123" i="13"/>
  <c r="M129" i="13"/>
  <c r="E13" i="13"/>
  <c r="P37" i="13"/>
  <c r="P132" i="13" s="1"/>
  <c r="P18" i="13"/>
  <c r="E34" i="13"/>
  <c r="I131" i="13"/>
  <c r="M131" i="13"/>
  <c r="Q131" i="13"/>
  <c r="E47" i="13"/>
  <c r="E54" i="13"/>
  <c r="P56" i="13"/>
  <c r="E60" i="13"/>
  <c r="E70" i="13"/>
  <c r="F67" i="13"/>
  <c r="J67" i="13"/>
  <c r="N67" i="13"/>
  <c r="F126" i="13"/>
  <c r="F73" i="13"/>
  <c r="F88" i="13"/>
  <c r="E88" i="13"/>
  <c r="E111" i="13"/>
  <c r="E108" i="13" s="1"/>
  <c r="E35" i="13"/>
  <c r="L131" i="13" l="1"/>
  <c r="H131" i="13"/>
  <c r="E126" i="13"/>
  <c r="E51" i="13"/>
  <c r="N32" i="13"/>
  <c r="M32" i="13" s="1"/>
  <c r="L32" i="13" s="1"/>
  <c r="K32" i="13" s="1"/>
  <c r="O37" i="13"/>
  <c r="O132" i="13" s="1"/>
  <c r="O128" i="13" s="1"/>
  <c r="E125" i="13"/>
  <c r="E123" i="13" s="1"/>
  <c r="L146" i="13"/>
  <c r="L56" i="13"/>
  <c r="E58" i="13"/>
  <c r="E56" i="13" s="1"/>
  <c r="H130" i="13"/>
  <c r="E130" i="13" s="1"/>
  <c r="J140" i="13"/>
  <c r="Q128" i="13"/>
  <c r="E67" i="13"/>
  <c r="P128" i="13"/>
  <c r="Q33" i="13"/>
  <c r="E129" i="13"/>
  <c r="F131" i="13"/>
  <c r="E36" i="13"/>
  <c r="G144" i="13"/>
  <c r="F123" i="13"/>
  <c r="I140" i="13"/>
  <c r="I146" i="13"/>
  <c r="I144" i="13" s="1"/>
  <c r="E44" i="13"/>
  <c r="K140" i="13"/>
  <c r="K146" i="13"/>
  <c r="N18" i="13"/>
  <c r="P33" i="13"/>
  <c r="M28" i="13" l="1"/>
  <c r="N37" i="13"/>
  <c r="N33" i="13" s="1"/>
  <c r="N28" i="13"/>
  <c r="O33" i="13"/>
  <c r="L28" i="13"/>
  <c r="E146" i="13"/>
  <c r="J32" i="13"/>
  <c r="K28" i="13"/>
  <c r="M18" i="13"/>
  <c r="L37" i="13"/>
  <c r="L33" i="13" s="1"/>
  <c r="M37" i="13"/>
  <c r="F147" i="13"/>
  <c r="E131" i="13"/>
  <c r="N132" i="13"/>
  <c r="N128" i="13" s="1"/>
  <c r="E140" i="13"/>
  <c r="M132" i="13" l="1"/>
  <c r="M128" i="13" s="1"/>
  <c r="M33" i="13"/>
  <c r="I32" i="13"/>
  <c r="J28" i="13"/>
  <c r="L18" i="13"/>
  <c r="L147" i="13" s="1"/>
  <c r="L144" i="13" s="1"/>
  <c r="F144" i="13"/>
  <c r="K37" i="13" l="1"/>
  <c r="K18" i="13"/>
  <c r="I28" i="13"/>
  <c r="H32" i="13"/>
  <c r="L132" i="13"/>
  <c r="L128" i="13" s="1"/>
  <c r="L141" i="13" s="1"/>
  <c r="L138" i="13" s="1"/>
  <c r="K147" i="13" l="1"/>
  <c r="K144" i="13" s="1"/>
  <c r="K132" i="13"/>
  <c r="K128" i="13" s="1"/>
  <c r="K141" i="13" s="1"/>
  <c r="K138" i="13" s="1"/>
  <c r="K33" i="13"/>
  <c r="H28" i="13"/>
  <c r="G32" i="13"/>
  <c r="F32" i="13" s="1"/>
  <c r="E32" i="13" s="1"/>
  <c r="E28" i="13" s="1"/>
  <c r="J37" i="13"/>
  <c r="J18" i="13"/>
  <c r="J147" i="13" s="1"/>
  <c r="J144" i="13" l="1"/>
  <c r="E147" i="13"/>
  <c r="E144" i="13" s="1"/>
  <c r="J132" i="13"/>
  <c r="J128" i="13" s="1"/>
  <c r="J141" i="13" s="1"/>
  <c r="J138" i="13" s="1"/>
  <c r="J33" i="13"/>
  <c r="I37" i="13"/>
  <c r="I18" i="13"/>
  <c r="I132" i="13" l="1"/>
  <c r="I128" i="13" s="1"/>
  <c r="I141" i="13" s="1"/>
  <c r="I33" i="13"/>
  <c r="H37" i="13"/>
  <c r="H18" i="13"/>
  <c r="H132" i="13" l="1"/>
  <c r="H128" i="13" s="1"/>
  <c r="H33" i="13"/>
  <c r="G37" i="13"/>
  <c r="G18" i="13"/>
  <c r="E141" i="13"/>
  <c r="E138" i="13" s="1"/>
  <c r="I138" i="13"/>
  <c r="G132" i="13" l="1"/>
  <c r="G128" i="13" s="1"/>
  <c r="G33" i="13"/>
  <c r="E22" i="13"/>
  <c r="E18" i="13" s="1"/>
  <c r="F37" i="13"/>
  <c r="F18" i="13"/>
  <c r="F132" i="13" l="1"/>
  <c r="E37" i="13"/>
  <c r="E33" i="13" s="1"/>
  <c r="F33" i="13"/>
  <c r="E132" i="13" l="1"/>
  <c r="E128" i="13" s="1"/>
  <c r="F128" i="13"/>
  <c r="F36" i="12" l="1"/>
  <c r="G36" i="12" s="1"/>
  <c r="H36" i="12" s="1"/>
  <c r="G35" i="12"/>
  <c r="G33" i="12"/>
  <c r="F32" i="12"/>
  <c r="G32" i="12" s="1"/>
  <c r="H32" i="12" s="1"/>
  <c r="G29" i="12"/>
  <c r="H27" i="12"/>
  <c r="F27" i="12"/>
  <c r="I36" i="12" l="1"/>
  <c r="E36" i="12"/>
  <c r="E34" i="12"/>
  <c r="I32" i="12"/>
  <c r="E32" i="12"/>
  <c r="I27" i="12"/>
</calcChain>
</file>

<file path=xl/sharedStrings.xml><?xml version="1.0" encoding="utf-8"?>
<sst xmlns="http://schemas.openxmlformats.org/spreadsheetml/2006/main" count="557" uniqueCount="306">
  <si>
    <t>Источники финансирования</t>
  </si>
  <si>
    <t>Всего</t>
  </si>
  <si>
    <t>федеральный бюджет</t>
  </si>
  <si>
    <t>местный бюджет</t>
  </si>
  <si>
    <t>УЖКХ</t>
  </si>
  <si>
    <t>УЖКХ, УКС</t>
  </si>
  <si>
    <t>к постановлению администрации города Покачи</t>
  </si>
  <si>
    <t>бюджет автономного округа</t>
  </si>
  <si>
    <t>иные источники финансирования</t>
  </si>
  <si>
    <t>всего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</si>
  <si>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</si>
  <si>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3/9</t>
  </si>
  <si>
    <t>Количество проб сточных вод несоответствующих установленным нормативам,ед. К</t>
  </si>
  <si>
    <t>Общее количество проб воды, ед, Ко</t>
  </si>
  <si>
    <t>0</t>
  </si>
  <si>
    <t>Договор исключение опасного производственного объекта из государственного реестра</t>
  </si>
  <si>
    <t>Журнал учета обращений граждан об неудовлетворенном уровне освещенности городских территорий</t>
  </si>
  <si>
    <t>Муниципальный контракт на оказание услуг по проведению мероприятий по обращению с животными без владельцев</t>
  </si>
  <si>
    <t>Муниципальный контракт по содержанию христианской части захоронения муниципального кладбища города Покачи</t>
  </si>
  <si>
    <t>Контракт на выполнение работ по обустройству контейнерных площадок для ТКО. Контракт на приобретение и поставку контейнеров для сбора ТКО</t>
  </si>
  <si>
    <t>27/41</t>
  </si>
  <si>
    <t>Приложение 1</t>
  </si>
  <si>
    <t>Таблица 1</t>
  </si>
  <si>
    <t xml:space="preserve">Целевые показатели муниципальной программы </t>
  </si>
  <si>
    <t>№ п\п</t>
  </si>
  <si>
    <t xml:space="preserve">Наименование целевого показателя </t>
  </si>
  <si>
    <t xml:space="preserve">Документ - основание </t>
  </si>
  <si>
    <t xml:space="preserve">Базовое значение </t>
  </si>
  <si>
    <t>На момент окончания реализации муниципальной программы 2030</t>
  </si>
  <si>
    <t xml:space="preserve">Ответственный исполнитель/ соисполнитель за достижение показателя </t>
  </si>
  <si>
    <t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«Развитие жилищно-коммунального комплекса и повышение энергетической эффективности в городе Покачи», ООО «Экосистема» на финансовое возмещение затрат по капитальному ремонту систем газораспределения, теплоснабжения, водоснабжения и водоотведения, в том числе  с применением композитных материалов для подготовки к осенне-зимнему периоду в городе Покачи, разработки проектно-сметной документации и проверки достоверности определения сметной стоимости работ</t>
  </si>
  <si>
    <t>Соглашение о предоставлении из бюджета муниципального образования субсидии, предусмотренной муниципальной программой муниципального образования город Покачи "Развитие жилищно-коммунального комплекса и повышение энергетической эффективности в городе Покачи" в городе Покачи ООО "Аквалидер" на возмещение недополученных доходов в связи с оказанием услуг по водоснабжению на территории города Покачи Соглашение о предоставлении платы Концедента в виде субсидии направленной на софинансирование части расходов на создание, реконструкцию, модернизацию объекта концессионного соглашения, в том числе расходов, предусмотренных в рамках концессионного соглашения в форме платы концедента в виде финансового обеспечения (возмещения) затрат в части эксплуатационных расходов, понесенных концессионером в процессе реализации концессионного соглашения</t>
  </si>
  <si>
    <t>Краткосрочный план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утвержденного постановлением Правительства Ханты-Мансийского автономного округа - Югры</t>
  </si>
  <si>
    <t>Постановление Правительства Российской Федерации от 11.02.2021 N 161 "Об утверждении требований к региональным и муниципальным программам в области энергосбережения и повышения энергетической эффективности и о признании утратившими силу некоторых актов Правительства Российской Федерации и отдельных положений некоторых актов Правительства Российской Федерации", приказ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</t>
  </si>
  <si>
    <t>Соглашение о сотрудничестве между муниципальным образованием город Покачи и обществом с ограниченной ответственностью "ЛУКОЙЛ-Западная Сибирь" в рамках реализации соглашения о сотрудничестве между Правительством Ханты-Мансийского автономного округа - Югры и ПАО "Нефтяная Компания ЛУКОЙЛ"</t>
  </si>
  <si>
    <t>Контракт на выполнение работ по капитальному ремонту установки дизельной электростанции для аварийного электроснабжения городской котельной 2х320 кВт/0,4 кВ</t>
  </si>
  <si>
    <t xml:space="preserve">Параметры финансового обеспечения муниципальной программы </t>
  </si>
  <si>
    <t>Расходы по годам (рублей)</t>
  </si>
  <si>
    <t xml:space="preserve">Параметры финансового обеспечения региональных проектов, проектов Ханты-Мансийского автономного округа - Югры, реализуемых в городе Покачи </t>
  </si>
  <si>
    <t xml:space="preserve">Объем налоговых расходов муниципального образования </t>
  </si>
  <si>
    <t>Портфель проекта экология автономного округа, реализуемая через муниципальную программу, в том числе направленная на реализацию национальных проектов (программ) Российской Федерации, параметры их финансового обеспечения
 (2019 - 2025 годы и на период до 2030 года)</t>
  </si>
  <si>
    <t xml:space="preserve">Всего 2019-2030 </t>
  </si>
  <si>
    <t xml:space="preserve">Наименование муниципальной программы </t>
  </si>
  <si>
    <t>«Развитие жилищно-коммунального комплекса и повышение энергетической эффективности» в городе Покачи»</t>
  </si>
  <si>
    <t xml:space="preserve">Сроки реализации муниципальной программы </t>
  </si>
  <si>
    <t>Куратор муниципальной программы</t>
  </si>
  <si>
    <t xml:space="preserve">Ответственный исполнитель муниципальной программы </t>
  </si>
  <si>
    <t xml:space="preserve">Соисполнители муниципальной программы </t>
  </si>
  <si>
    <t>Национальная цель</t>
  </si>
  <si>
    <t xml:space="preserve">Цели муниципальной программы </t>
  </si>
  <si>
    <t>Задачи муниципальной программы</t>
  </si>
  <si>
    <t xml:space="preserve">Подпрограммы </t>
  </si>
  <si>
    <t>Заместитель главы города Покачи Вафин Наиль Шамильевич</t>
  </si>
  <si>
    <t>Управление жилищно-коммунального хозяйства администрации города Покачи (далее - УЖКХ)</t>
  </si>
  <si>
    <t xml:space="preserve">1. МУ «Управление капитального строительства» (далее - УКС).
2. Комитет по управлению муниципальным имуществом администрации города Покачи (далее - КУМИ).
3. Предприятия коммунального комплекса, подрядные организации.
</t>
  </si>
  <si>
    <t xml:space="preserve">1. Повышение качества и надежности предоставления жилищно-коммунальных услуг.
2. Создание безопасных и благоприятных условий проживания граждан.
3. Повышение эффективности использования топливно-энергетических ресурсов.
4. Содержание объектов внешнего благоустройства городского округа города Покачи.
</t>
  </si>
  <si>
    <t xml:space="preserve">1. Создание условий для обеспечения качественными коммунальными услугами; развитие и модернизация энергетической отрасли.
2. Приведение в нормативное состояние инженерных систем и конструктивных элементов многоквартирных домов, направленных на обеспечение надежности и отвечающих требованиям действующего законодательства.
3. Повышение энергетической эффективности при производстве и передачи энергетических ресурсов; повышение энергетической эффективности в бюджетной сфере.
4. Установление единого порядка содержания внешнего благоустройства на территории города.
</t>
  </si>
  <si>
    <t xml:space="preserve">Подпрограмма 1. Создание условий для обеспечения качественными коммунальными услугами.
Подпрограмма 2. Содействие проведению капитального ремонта многоквартирных домов.
Подпрограмма 3.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водоотведения.
Подпрограмма 4. Повышение энергоэффективности в отраслях экономики.
Подпрограмма 5. Содержание объектов внешнего благоустройства города Покачи.
</t>
  </si>
  <si>
    <t>Всего 2019-2030</t>
  </si>
  <si>
    <t>Протяженность инженерных сетей тепло-, водоснабжения, водоотведения , на которых проведен капитальный ремонт, км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</si>
  <si>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</t>
  </si>
  <si>
    <t xml:space="preserve">Количество выведенных объектов из реестра опасных производственных объектов, шт., </t>
  </si>
  <si>
    <t>Количество отремонтированных многоквартирных домов/ количество отремонтированных конструктивных элементов в многоквартирных домах, ед./ед.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</si>
  <si>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</si>
  <si>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</si>
  <si>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</si>
  <si>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</si>
  <si>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</si>
  <si>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</t>
  </si>
  <si>
    <t>Удельный расход холодной воды на снабжение органов местного самоуправления и муниципальных учреждений (в расчете на 1 человека), м3/чел.</t>
  </si>
  <si>
    <t>Удельный расход горячей воды на снабжение органов местного самоуправления и муниципальных учреждений (в расчете на 1 человека), м3/чел.</t>
  </si>
  <si>
    <t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</t>
  </si>
  <si>
    <t>Количество энергосервисных договоров (контрактов), заключенных органами местного самоуправления и муниципальными учреждениями, ед.</t>
  </si>
  <si>
    <t>Удельный расход тепловой энергии в многоквартирных домах (в расчете на 1 кв. метр общей площади), Гкал/м2</t>
  </si>
  <si>
    <t>Удельный расход холодной воды в многоквартирных домах (в расчете на 1 жителя), м3/чел.</t>
  </si>
  <si>
    <t xml:space="preserve">Удельный расход горячей воды в многоквартирных домах (в расчете на 1 жителя), м3/чел. </t>
  </si>
  <si>
    <t>Удельный расход электрической энергии в многоквартирных домах (в расчете на 1 кв. метр общей площади), кВт.ч/м2</t>
  </si>
  <si>
    <t>Удельный суммарный расход энергетических ресурсов в многоквартирных домах, т.у.т./м2</t>
  </si>
  <si>
    <t>Удельный расход топлива на выработку тепловой энергии на котельных, т.у.т./Гкал</t>
  </si>
  <si>
    <t>Удельный расход электрической энергии, используемой при передаче тепловой энергии в системах теплоснабжения, кВтч/тыс.Гкал</t>
  </si>
  <si>
    <t>Доля потерь тепловой энергии при ее передаче в общем объеме переданной тепловой энергии, %</t>
  </si>
  <si>
    <t>Доля потерь воды при ее передаче в общем объеме переданной воды, %</t>
  </si>
  <si>
    <t>Удельный расход электрической энергии, используемой в системах водоотведения (на 1 куб. метр), кВтч/м3</t>
  </si>
  <si>
    <t>Удовлетворенность населения уровнем освещенности городских территорий (не более 5 обращений граждан), шт.</t>
  </si>
  <si>
    <t>Количество голов отловленных животных без владельцев</t>
  </si>
  <si>
    <t>Удовлетворенность населения содержанием мест захоронения городского кладбища (не более 3 обращений)</t>
  </si>
  <si>
    <t>Количество покрашенных фасадов домов (шт.)</t>
  </si>
  <si>
    <t>Количество обустроенных площадок, в том числе приобретение контейнеров для сбора ТКО,площ./ед.конт.</t>
  </si>
  <si>
    <t>Доля проб сточных вод несоответствующих установленных нормативам допустимых сбросам %, Д=К/Ко</t>
  </si>
  <si>
    <t xml:space="preserve">Комфортная и безопасная среда для жизни
</t>
  </si>
  <si>
    <t xml:space="preserve"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
</t>
  </si>
  <si>
    <t xml:space="preserve">3,241
</t>
  </si>
  <si>
    <t>2027-2030</t>
  </si>
  <si>
    <t>2019 - 2026 годы и на период до 2030 года</t>
  </si>
  <si>
    <t>Паспорт муниципальной программы</t>
  </si>
  <si>
    <t>32.1</t>
  </si>
  <si>
    <t>32.2</t>
  </si>
  <si>
    <t>Количество разработанных (актуализированных) документов, отображающих текущее состояние и развитие жилищно-коммунального комплекса города Покачи,  шт.</t>
  </si>
  <si>
    <t>Постановлением Правительства Российской Федерации от 22.02.2012 N 154 "О требованиях к схемам теплоснабжения, порядку их разработки и утверждения", постановлением Правительства Российской Федерации от 05.09.2013 N 782 "О схемах водоснабжения и водоотведения" (вместе с "Правилами разработки и утверждения схем водоснабжения и водоотведения", "Требованиями к содержанию схем водоснабжения и водоотведения"), приказ Минэнерго России от 29.10.2021 N 1169 "Об утверждении Порядка составления топливно-энергетических балансов субъектов Российской Федерации, муниципальных образований"</t>
  </si>
  <si>
    <t>3</t>
  </si>
  <si>
    <t>Приложение 2</t>
  </si>
  <si>
    <t>Таблица 2</t>
  </si>
  <si>
    <t>Распределение финансовых ресурсов муниципальной программы</t>
  </si>
  <si>
    <t xml:space="preserve">Номер основного мероприятия
</t>
  </si>
  <si>
    <t>Основные мероприятия государственной программы (их связь с целевыми показателями государственной программы)</t>
  </si>
  <si>
    <t xml:space="preserve">Ответственный исполнитель
/соисполнитель
</t>
  </si>
  <si>
    <t>Финансовые затраты на реализацию (рублей)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</si>
  <si>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</si>
  <si>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</si>
  <si>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</si>
  <si>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</si>
  <si>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</si>
  <si>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</si>
  <si>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</si>
  <si>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</si>
  <si>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</si>
  <si>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</si>
  <si>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</si>
  <si>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</si>
  <si>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Подпрограмма 1. Создание условий для обеспечения качественными коммунальными услугами</t>
  </si>
  <si>
    <t>1.1</t>
  </si>
  <si>
    <t>Капитальный ремонт объектов теплоснабжения, водоснабжения и водоотведения (1)</t>
  </si>
  <si>
    <t>1.2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</si>
  <si>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</si>
  <si>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1.3</t>
  </si>
  <si>
    <t>Техническое перевооружение опасного производственного объекта (3)</t>
  </si>
  <si>
    <t>Разработка (актуализация) технической документации</t>
  </si>
  <si>
    <t>1.4</t>
  </si>
  <si>
    <t>ИТОГО по подпрограмме 1</t>
  </si>
  <si>
    <t>Подпрограмма 2: Содействие проведению капитального ремонта многоквартирных домов</t>
  </si>
  <si>
    <t>2.1.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</si>
  <si>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</si>
  <si>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ИТОГО по подпрограмме 2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</si>
  <si>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</si>
  <si>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3.1.</t>
  </si>
  <si>
    <t>Предоставление субсидий на реализацию полномочий в сфере жилищно-коммунального комплекса (1)</t>
  </si>
  <si>
    <t>ИТОГО по подпрограмме 3</t>
  </si>
  <si>
    <t>Подпрограмма 4.  Повышение энергоэффективности в отраслях экономики</t>
  </si>
  <si>
    <t>4.1</t>
  </si>
  <si>
    <t>Энергосбережение и повышение энергетической эффективности (5-38)</t>
  </si>
  <si>
    <t>ИТОГО по подпрограмме 4</t>
  </si>
  <si>
    <t>Подпрограмма 5. Содержание объектов внешнего благоустройства  города Покачи</t>
  </si>
  <si>
    <t>5.1</t>
  </si>
  <si>
    <t xml:space="preserve">Потребление электроэнергии наружного освещение с учетом вновь вводимых объектов    (39)                                                                                                                                             </t>
  </si>
  <si>
    <t>5.2</t>
  </si>
  <si>
    <t xml:space="preserve">Техническое обслуживание электрооборудования наружного освещения с учетом вновь вводимых объектов    (39)                                                                                                           </t>
  </si>
  <si>
    <t>5.3</t>
  </si>
  <si>
    <t xml:space="preserve">Вывоз и утилизация ртутьсодержащих отходов  (39)                                                                                                                                </t>
  </si>
  <si>
    <t>5.4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</si>
  <si>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(40)
</t>
  </si>
  <si>
    <t>5.5</t>
  </si>
  <si>
    <t>Содержание, обслуживание городского кладбища (41)</t>
  </si>
  <si>
    <t>5.6</t>
  </si>
  <si>
    <t>Благоустройство  территорий и объектов города Покачи (42)</t>
  </si>
  <si>
    <t>5.7</t>
  </si>
  <si>
    <t>Обустройство мест(площадок) накопления ТКО (43)</t>
  </si>
  <si>
    <t>5.8</t>
  </si>
  <si>
    <t>Ремонт кабельных лотков, светильников освещения внутриквартальных проездов по ул.Комсомолская, 6  (39)</t>
  </si>
  <si>
    <t>УКС</t>
  </si>
  <si>
    <t>5.9</t>
  </si>
  <si>
    <t>Установка светильников по ул. Югорская  (39)</t>
  </si>
  <si>
    <t>5.10</t>
  </si>
  <si>
    <t>Содержание объектов: сквер по ул.Таежная, памятник "Защитникам Отечества" (39)</t>
  </si>
  <si>
    <t>ИТОГО по подпрограмме 5</t>
  </si>
  <si>
    <t>ИТОГО ПО ПРОГРАММЕ:</t>
  </si>
  <si>
    <t>Инвестиции в объекты  муниципальной собственности</t>
  </si>
  <si>
    <t>Прочие расходы</t>
  </si>
  <si>
    <t>В том числе:</t>
  </si>
  <si>
    <t>Ответственный исполнитель (Управление ЖКХ администрации города Покачи)</t>
  </si>
  <si>
    <t>Соисполнитель 1 (Управление капитального строительства)</t>
  </si>
  <si>
    <t>Соисполнитель 2 (Комитет по управлению муниципальным имуществом администрации города Покачи)</t>
  </si>
  <si>
    <t>Приложение 3</t>
  </si>
  <si>
    <t>Таблица 6</t>
  </si>
  <si>
    <t xml:space="preserve">Показатели, характеризующие эффективность структурного
элемента (основного мероприятия) муниципальной программы
</t>
  </si>
  <si>
    <t>№п\п</t>
  </si>
  <si>
    <t xml:space="preserve">Наименование целевых показателей </t>
  </si>
  <si>
    <t>Базовый  показатель на начало реализации муниципальной программы</t>
  </si>
  <si>
    <t>Значения показателя по годам</t>
  </si>
  <si>
    <t>Целевое значение показателя  на момент окончания реализации муниципальной программы</t>
  </si>
  <si>
    <t>Протяженность инженерных сетей тепло-, водоснабжения, водоотведения , на которых проведен капитальный ремонт, км, &lt;1&gt;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</si>
  <si>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шт.&lt;2&gt;</t>
  </si>
  <si>
    <t>Количество выведенных объектов из реестра опасных производственных объектов, шт., &lt;3&gt;</t>
  </si>
  <si>
    <t xml:space="preserve">Количество отремонтированных многоквартирных домов/ количество отремонтированных конструктивных элементов в многоквартирных домах, ед./ед. &lt;4&gt;, </t>
  </si>
  <si>
    <t>5/5</t>
  </si>
  <si>
    <t>6/9</t>
  </si>
  <si>
    <t>7/14</t>
  </si>
  <si>
    <t>9/13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</si>
  <si>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%, &lt;5&gt;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</si>
  <si>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%, &lt;5&gt;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</si>
  <si>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</si>
  <si>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</si>
  <si>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кВт.ч/м2, &lt;5&gt;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</si>
  <si>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Гкал/м2, &lt;5&gt;</t>
  </si>
  <si>
    <t>Удельный расход холодной воды на снабжение органов местного самоуправления и муниципальных учреждений (в расчете на 1 человека), м3/чел., &lt;5&gt;</t>
  </si>
  <si>
    <t>Удельный расход горячей воды на снабжение органов местного самоуправления и муниципальных учреждений (в расчете на 1 человека), м3/чел., &lt;5&gt;</t>
  </si>
  <si>
    <t xml:space="preserve"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%,&lt;5&gt; </t>
  </si>
  <si>
    <t>Количество энергосервисных договоров (контрактов), заключенных органами местного самоуправления и муниципальными учреждениями, ед.,&lt;5&gt;</t>
  </si>
  <si>
    <t>Удельный расход тепловой энергии в многоквартирных домах (в расчете на 1 кв. метр общей площади), Гкал/м2, &lt;5&gt;</t>
  </si>
  <si>
    <t>Удельный расход холодной воды в многоквартирных домах (в расчете на 1 жителя), м3/чел., &lt;5&gt;</t>
  </si>
  <si>
    <t>Удельный расход горячей воды в многоквартирных домах (в расчете на 1 жителя), м3/чел. ,&lt;5&gt;</t>
  </si>
  <si>
    <t>Удельный расход электрической энергии в многоквартирных домах (в расчете на 1 кв. метр общей площади), кВт.ч/м2, &lt;5&gt;</t>
  </si>
  <si>
    <t>Удельный суммарный расход энергетических ресурсов в многоквартирных домах, т.у.т./м2, &lt;5&gt;</t>
  </si>
  <si>
    <t>Удельный расход топлива на выработку тепловой энергии на котельных, т.у.т./Гкал, &lt;5&gt;</t>
  </si>
  <si>
    <t>Удельный расход электрической энергии, используемой при передаче тепловой энергии в системах теплоснабжения, кВтч/тыс.Гкал, &lt;5&gt;</t>
  </si>
  <si>
    <t>Доля потерь тепловой энергии при ее передаче в общем объеме переданной тепловой энергии, %,&lt;5&gt;</t>
  </si>
  <si>
    <t>Доля потерь воды при ее передаче в общем объеме переданной воды, %, &lt;5&gt;</t>
  </si>
  <si>
    <t>Удельный расход электрической энергии, используемой в системах водоотведения (на 1 куб. метр), кВтч/м3, &lt;5&gt;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</si>
  <si>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</t>
  </si>
  <si>
    <t>Удовлетворенность населения уровнем освещенности городских территорий (не более 5 обращений граждан), шт.,  &lt;6&gt;</t>
  </si>
  <si>
    <t>Количество голов отловленных животных без владельцев, &lt;7&gt;</t>
  </si>
  <si>
    <t>Удовлетворенность населения содержанием мест захоронения городского кладбища (не более 3 обращений),&lt;8&gt;</t>
  </si>
  <si>
    <t>Количество покрашенных фасадов домов (шт.), &lt;9&gt;</t>
  </si>
  <si>
    <t>Количество обустроенных площадок, в том числе приобретение контейнеров для сбора ТКО,площ./ед.конт., &lt;10&gt;</t>
  </si>
  <si>
    <t xml:space="preserve">Доля проб сточных вод несоответствующих установленных нормативам допустимых сбросам %, Д=К/Ко&lt;11&gt; </t>
  </si>
  <si>
    <t>Количество разработанных (актуализированных) документов, отображающих текущее состояние и развитие жилищно-коммунального комплекса города Покачи,  шт. &lt;12&gt;</t>
  </si>
  <si>
    <t xml:space="preserve"> &lt;1&gt; Указывается протяженностьв км инженерных сетей тепло-, водоснабжения, водоотведения , на которых проведен капитальный ремонт по фактическим </t>
  </si>
  <si>
    <t xml:space="preserve"> &lt;2&gt; Указывается 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</t>
  </si>
  <si>
    <t xml:space="preserve"> &lt;3&gt; Указывается количество выведенных объектов из реестра опасных производственных объектов</t>
  </si>
  <si>
    <t xml:space="preserve"> &lt;4&gt; Постановление Правительства Ханты-Мансийского автономного округа - Югры  от 25.03.2022 N 102-п "О краткосрочном плане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на 2023 - 2025 годы"</t>
  </si>
  <si>
    <t xml:space="preserve"> &lt;5&gt; Показатель (с 5 по 38) определяется ежегодно согласно методике расчета значений целевых показателей в области энергосбережения и повышения энергетической эффективности, утвержденных приказом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условиях".</t>
  </si>
  <si>
    <t xml:space="preserve"> &lt;6&gt; Указывается (шт.) удовлетворенность населения уровнем освещенности городских территорий (не более 5 обращений граждан)</t>
  </si>
  <si>
    <t xml:space="preserve"> &lt;7&gt; Указывается количество голов отловленных животных без владельцев (шт.)</t>
  </si>
  <si>
    <t xml:space="preserve"> &lt;8&gt; Указывается удовлетворенность населения содержанием мест захоронения городского кладбища (не более 3 обращений)</t>
  </si>
  <si>
    <t xml:space="preserve"> &lt;9&gt; Указывается количество покрашенных фасадов домов (шт.)</t>
  </si>
  <si>
    <t xml:space="preserve"> &lt;10&gt; Указывается количество обустроенных площадок, в том числе приобретение контейнеров для сбора ТКО,площ./ед.конт.</t>
  </si>
  <si>
    <t xml:space="preserve"> &lt;11&gt; Указывается доля проб сточных вод несоответствующих установленных нормативам допустимых сбросам %, Д=К/Ко&lt;11&gt; </t>
  </si>
  <si>
    <t>Таблица 3</t>
  </si>
  <si>
    <t xml:space="preserve">Перечень структурных элементов (основных мероприятий)
муниципальной программы
</t>
  </si>
  <si>
    <t xml:space="preserve">№ структурного элемента (основного мероприятия) 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</si>
  <si>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</si>
  <si>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</si>
  <si>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</t>
  </si>
  <si>
    <t>Цель 1. «Повышение качества и надежности предоставления жилищно-коммунальных услуг»</t>
  </si>
  <si>
    <t>Задачи 1. «Создание условий для обеспечения качественными коммунальными услугами»</t>
  </si>
  <si>
    <t>Подпрограмма 1. «Создание условий для обеспечения качественными коммунальными услугами»</t>
  </si>
  <si>
    <t xml:space="preserve">Капитальный ремонт объектов теплоснабжения, водоснабжения и водоотведения </t>
  </si>
  <si>
    <t>Приобретение и установка стартера  Дизель-генераторной установки -2 на объекте ВОС-8000 м3</t>
  </si>
  <si>
    <t xml:space="preserve">Предоставление субсидии в целях возмещения недополученных доходов (возмещения затрат) в связи с оказанием услуг по водоснабжению </t>
  </si>
  <si>
    <t>В результате возмещения недополученных доходов организации коммунального комплекса, оказывающей услуги в сфере водоснабжения (ООО «Аквалидер») обеспечено бесперебойное предоставление услуги водоснабжения населению города Покачи, а также созданы условия для устойчивой работы организации коммунального комплекса.</t>
  </si>
  <si>
    <t>Техническое перевооружение опасного производственного объекта</t>
  </si>
  <si>
    <t xml:space="preserve">Цель 2. «Создание безопасных и благоприятных условий проживания граждан»
</t>
  </si>
  <si>
    <t>Задача 2. «Приведение в нормативное сосояние инженергных систем и конструктивных элементов многоквартирных домов, направленных на
обеспечение надежности и отвечающих требованиям действующего законодательства»</t>
  </si>
  <si>
    <t>Подпрограмма 2: «Содействие проведению капитального ремонта многоквартирных домов»</t>
  </si>
  <si>
    <t xml:space="preserve"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</t>
  </si>
  <si>
    <t>Цель 3. «Повышение эффективности использования топливно-энергетическими ресурсами»</t>
  </si>
  <si>
    <t>Задача 3. «Повышение энергетической эффективности при производстве и передачи энергетических ресурсов; повышение энергетической
эффективности в бюджетной сфере»</t>
  </si>
  <si>
    <t>Подпрограмма 3: «Поддержка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водоотведения»</t>
  </si>
  <si>
    <t xml:space="preserve">Предоставление субсидий на реализацию полномочий в сфере жилищно-коммунального комплекса </t>
  </si>
  <si>
    <t>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</t>
  </si>
  <si>
    <t>1) Постановление Правительства Ханты-Мансийского автономного округа – Югры от 30.12.2021г. №635-п «О мерах по реализации государственной программы Ханты-Мансийского автономного округа - Югры «Жилищно-коммунальный комплекс и городская среда»;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Порядок предоставления и использования субсидий в целях финансового обеспечения, возмещения затрат, связанных с проведением мероприятий по реконструкции, капитальному ремонту (с заменой) систем газораспределения, теплоснабжения, водоснабжения и водоотведения, в том числе с применением композитных материалов для подготовки к осенне-зимнему периоду в городе Покачи, разработки проектно-сметной документации и проверки достоверности определения сметной стоимости работ, утвержденным постановлением администрации города Покачи от 01.07.2016 №666</t>
  </si>
  <si>
    <t>Цель 4. «Содержание объектов внешнего благоустройства городского округа города Покачи»</t>
  </si>
  <si>
    <t xml:space="preserve">Задача 4. «Установление единого порядка содержания внешнего благоустройства на территории города» </t>
  </si>
  <si>
    <t>Подпрограмма 4.  «Повышение энергоэффективности в отраслях экономики»</t>
  </si>
  <si>
    <t xml:space="preserve">Энергосбережение и повышение энергетической эффективности </t>
  </si>
  <si>
    <t>Федеральный закон от 23.11.2009 №261-ФЗ «Об энергосбережении и о повышении энергетической эффективности и о внесении изменений в отдельные законодательные акты Российской Федерации»</t>
  </si>
  <si>
    <t>Цель 5. «Содержание объектов внешнего благоустройства городского округа города Покачи»</t>
  </si>
  <si>
    <t xml:space="preserve">Задачи 5. «Установление единого порядка содержания внешнего благоустройства на территории города» </t>
  </si>
  <si>
    <t xml:space="preserve">Подпрограмма 5. «Содержание объектов внешнего благоустройства  города Покачи» </t>
  </si>
  <si>
    <t xml:space="preserve">Потребление электроэнергии наружного освещение с учетом вновь вводимых объектов   </t>
  </si>
  <si>
    <t>Потребление электроэнергии наружного освещения</t>
  </si>
  <si>
    <t xml:space="preserve">Техническое обслуживание электрооборудования наружного освещения с учетом вновь вводимых объектов                                                                                    </t>
  </si>
  <si>
    <t>Техническое обслуживание электрооборудования наружного освещения с учетом вновь вводимых объектов</t>
  </si>
  <si>
    <t xml:space="preserve">Вывоз и утилизация ртутьсодержащих отходов  </t>
  </si>
  <si>
    <t>Вывоз и утилизация ртутьсодержащих отходов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</si>
  <si>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</t>
  </si>
  <si>
    <t>Средства для отлова и транспортировки безнадзорных и бродячих домашних животных, содержания и учета отловленных безнадзорных и бродячих домашних животных, умерщвления и утилизация бродячих домашних животных</t>
  </si>
  <si>
    <t>Закон Ханты-Мансийского автономного округа - Югры от 10.12.2019 № 89-оз «О наделении органов местного самоуправления муниципальных образований Ханты-Мансийского автономного округа - Югры отдельным государственным полномочием Ханты-Мансийского автономного округа - Югры по организации мероприятий при осуществлении деятельности по обращению с животными без владельцев»</t>
  </si>
  <si>
    <t xml:space="preserve">Содержание, обслуживание городского кладбища </t>
  </si>
  <si>
    <t>Содержание, обслуживание городского кладбища</t>
  </si>
  <si>
    <t xml:space="preserve">Федеральный закон от 12.01.1996 №8-ФЗ «О погребении и похоронном деле» </t>
  </si>
  <si>
    <t xml:space="preserve">Благоустройство  территорий и объектов города Покачи </t>
  </si>
  <si>
    <t>Мероприятия по благоустройству города Покачи (в том числе покраска домов)</t>
  </si>
  <si>
    <t>1) решение Думы города Покачи от 20.06.2019 №38 «О правилах благоустройства территории города Покачи»;                                                                                                                          2)постановление администрации города Покачи от 20.05.2009 №374 «Об утверждении положения об организации мероприятий по охране окружающей среды в городе Покачи»</t>
  </si>
  <si>
    <t>Обустройство мест (площадок) накопления ТКО</t>
  </si>
  <si>
    <t>Выполнение работ по замене площадок ТКО, установленных на дворовых территориях жилых домов по  ул. Таежная д.10, ул. Молодежная д.9, д.15, Молодежная, 11.</t>
  </si>
  <si>
    <t>Ремонт кабельных лотков, светильников освещения внутриквартальных проездов по ул.Комсомолская, 6</t>
  </si>
  <si>
    <t xml:space="preserve">Ремонт кабельных лотков, светильников освещения внутриквартальных проездов по ул.Комсомолская, 6 </t>
  </si>
  <si>
    <t xml:space="preserve">Установка светильников по ул. Югорская </t>
  </si>
  <si>
    <t xml:space="preserve">Установка светильников по ул. Югорская  </t>
  </si>
  <si>
    <t>Содержание объектов: сквер по ул.Таежная, памятник "Защитникам Отечества"</t>
  </si>
  <si>
    <t>Содержание территории памятника "Защитникам Отечества". Содержание территории "Сквера"</t>
  </si>
  <si>
    <t>Цель 6. «Реализация переданных отдельных государственных полномочий по осуществлению деятельности по опеке и попечительству и предоставлению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приемным родителям на территории города Покачи
»</t>
  </si>
  <si>
    <t xml:space="preserve">Задачи 6. «Предоставление жителям города Покачи государственных услуг в сфере опеки и попечительства и исполнение переданных отдельных государственных полномочий по осуществлению деятельности по опеке и попечительству» </t>
  </si>
  <si>
    <t xml:space="preserve">Подпрограмма 6. «Ремонт жилых помещений, собственниками которых  являются дети-сироты и дети, оставшиеся без попечения родителей.» </t>
  </si>
  <si>
    <t>6.1</t>
  </si>
  <si>
    <t xml:space="preserve">Предоставление государственных услуг в сфере опеки и попечительства и исполнение переданных отдельных государственных полномочий по осуществлению деятельности по опеке и попечительству
</t>
  </si>
  <si>
    <t xml:space="preserve">Обеспечение граждан мерами социальной поддержки, имеющих право на их получение.
</t>
  </si>
  <si>
    <t>Приложение 4</t>
  </si>
  <si>
    <t>2.1</t>
  </si>
  <si>
    <t>3.1</t>
  </si>
  <si>
    <t xml:space="preserve">Постановление администрации города Покачи от 27.05.2022 N 551
"О Порядке предоставления субсидии на возмещение недополученных доходов в связи с оказанием услуг по водоснабжению на территории города Покачи"
</t>
  </si>
  <si>
    <t>Постановление Правительства Ханты-Мансийского автономного округа - Югры от 02.09.2016 года №334-п «О краткосрочном плане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 - Югры, на 2017 - 2019 годы»</t>
  </si>
  <si>
    <t>Приказ Министерства энергетики Российской Федерации от 30.06.2014 N 399 "Об утверждении методики расчета значений целевых показателей в области энергосбережения и повышения энергетической эффективности, в том числе в сопоставимых условиях"</t>
  </si>
  <si>
    <t>Актуализация схем теплоснабжения, водоснабжения и водоотведения, разработка топливно-энергетического баланса города Покачи</t>
  </si>
  <si>
    <t xml:space="preserve"> &lt;12&gt; Показатель определяется в соответствии с постановлением Правительства Российской Федерации от 22.02.2012 N 154 "О требованиях к схемам теплоснабжения, порядку их разработки и утверждения", постановлением Правительства Российской Федерации от 05.09.2013 N 782 "О схемах водоснабжения и водоотведения" (вместе с "Правилами разработки и утверждения схем водоснабжения и водоотведения", "Требованиями к содержанию схем водоснабжения и водоотведения"), приказом Минэнерго России от 29.10.2021 N 1169 "Об утверждении Порядка составления топливно-энергетических балансов субъектов Российской Федерации, муниципальных образований"
</t>
  </si>
  <si>
    <t xml:space="preserve">Приказ Минэнерго России от 12.03.2013 N 103
"Об утверждении Правил оценки готовности к отопительному периоду"
</t>
  </si>
  <si>
    <t xml:space="preserve">Приказ Минэнерго России от 24.03.2003 N 115
"Об утверждении Правил технической эксплуатации тепловых энергоустановок"
</t>
  </si>
  <si>
    <t>Постановление Правительства Российской Федерации от 22.02.2012 N 154 "О требованиях к схемам теплоснабжения, порядку их разработки и утверждения";
2) Постановление Правительства Российской Федерации от 05.09.2013 N 782 "О схемах водоснабжения и водоотведения" (вместе с "Правилами разработки и утверждения схем водоснабжения и водоотведения" "Требованиями к содержанию схем водоснабжения и водоотведения");
3) Приказ Минэнерго России от 29.10.2021 N 1169 "Об утверждении Порядка составления топливно-энергетических балансов субъектов Российской Федерации, муниципальных образований"</t>
  </si>
  <si>
    <t xml:space="preserve">Приказ Минэнерго России от 12.08.2022 N 811
"Об утверждении Правил технической эксплуатации электроустановок потребителей электрической энергии"
</t>
  </si>
  <si>
    <t xml:space="preserve">Постановление Правительства РФ от 28.12.2020 N 2314
"Об утверждении Правил обращения с отходами производства и потребления в части осветительных устройств, электрических ламп, ненадлежащие сбор, накопление, использование, обезвреживание, транспортирование и размещение которых может повлечь причинение вреда жизни, здоровью граждан, вреда животным, растениям и окружающей среде"
</t>
  </si>
  <si>
    <t xml:space="preserve">1) Постановление Правительства Российской Федерации от 31.08.2018 №1039 «Об утверждении правил обустройства мест (площадок) накопления твердых коммунальных отходов и ведения их реестра»;                                                                                                                                         2) Постановление администрации города Покачи от 11.02.2022 №154 «Об утверждении схемы санитарной очистки территории города Покачи на 2021 - 2026 годы» </t>
  </si>
  <si>
    <t>Приказ Минэнерго России от 24.03.2003 N 115
"Об утверждении Правил технической эксплуатации тепловых энергоустановок"</t>
  </si>
  <si>
    <t xml:space="preserve">отсутствует
</t>
  </si>
  <si>
    <t>от  18.07.2023 № 582</t>
  </si>
  <si>
    <t>от 18.07.2023  №  582</t>
  </si>
  <si>
    <t>от 18.07.2023 № 582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</si>
</sst>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"/>
    <numFmt numFmtId="166" formatCode="#,##0.000"/>
    <numFmt numFmtId="167" formatCode="_-* #,##0.0000_р_._-;\-* #,##0.00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219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3" fillId="2" borderId="6" xfId="0" applyFont="1" applyFill="1" applyBorder="1" applyAlignment="1">
      <alignment horizontal="left" vertical="center" wrapText="1"/>
    </xf>
    <xf numFmtId="1" fontId="3" fillId="2" borderId="6" xfId="0" applyNumberFormat="1" applyFont="1" applyFill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166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top" wrapText="1"/>
    </xf>
    <xf numFmtId="49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0" borderId="0" xfId="0" applyFont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0" xfId="0" applyFont="1" applyFill="1" applyBorder="1" applyAlignment="1">
      <alignment horizontal="left" vertical="top" wrapText="1"/>
    </xf>
    <xf numFmtId="0" fontId="3" fillId="2" borderId="10" xfId="0" applyFont="1" applyFill="1" applyBorder="1" applyAlignment="1">
      <alignment vertical="top" wrapText="1"/>
    </xf>
    <xf numFmtId="0" fontId="3" fillId="2" borderId="6" xfId="0" applyFont="1" applyFill="1" applyBorder="1" applyAlignment="1">
      <alignment horizontal="center" vertical="top"/>
    </xf>
    <xf numFmtId="1" fontId="3" fillId="2" borderId="6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wrapText="1"/>
    </xf>
    <xf numFmtId="0" fontId="3" fillId="0" borderId="0" xfId="0" applyFont="1" applyFill="1"/>
    <xf numFmtId="0" fontId="3" fillId="0" borderId="0" xfId="0" applyFont="1" applyFill="1" applyAlignment="1"/>
    <xf numFmtId="4" fontId="3" fillId="0" borderId="0" xfId="0" applyNumberFormat="1" applyFont="1" applyFill="1"/>
    <xf numFmtId="4" fontId="3" fillId="0" borderId="0" xfId="0" applyNumberFormat="1" applyFont="1" applyFill="1" applyAlignment="1"/>
    <xf numFmtId="0" fontId="3" fillId="2" borderId="0" xfId="0" applyFont="1" applyFill="1" applyAlignment="1"/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2" borderId="8" xfId="0" applyNumberFormat="1" applyFont="1" applyFill="1" applyBorder="1" applyAlignment="1">
      <alignment horizontal="center" vertical="center"/>
    </xf>
    <xf numFmtId="1" fontId="3" fillId="2" borderId="6" xfId="0" applyNumberFormat="1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/>
    </xf>
    <xf numFmtId="0" fontId="6" fillId="2" borderId="6" xfId="1" applyFont="1" applyFill="1" applyBorder="1" applyAlignment="1">
      <alignment horizontal="center" vertical="center" wrapText="1"/>
    </xf>
    <xf numFmtId="4" fontId="3" fillId="2" borderId="6" xfId="0" applyNumberFormat="1" applyFont="1" applyFill="1" applyBorder="1"/>
    <xf numFmtId="0" fontId="3" fillId="2" borderId="6" xfId="0" applyFont="1" applyFill="1" applyBorder="1" applyAlignment="1">
      <alignment wrapText="1"/>
    </xf>
    <xf numFmtId="0" fontId="3" fillId="2" borderId="6" xfId="0" applyFont="1" applyFill="1" applyBorder="1" applyAlignment="1">
      <alignment vertical="center"/>
    </xf>
    <xf numFmtId="0" fontId="4" fillId="0" borderId="0" xfId="0" applyFont="1"/>
    <xf numFmtId="0" fontId="4" fillId="0" borderId="0" xfId="0" applyFont="1" applyFill="1"/>
    <xf numFmtId="0" fontId="4" fillId="0" borderId="0" xfId="0" applyFont="1" applyAlignment="1">
      <alignment horizontal="right"/>
    </xf>
    <xf numFmtId="0" fontId="3" fillId="2" borderId="8" xfId="0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" fontId="7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1" fontId="7" fillId="0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 wrapText="1"/>
    </xf>
    <xf numFmtId="4" fontId="7" fillId="2" borderId="6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center" vertical="center" wrapText="1"/>
    </xf>
    <xf numFmtId="165" fontId="7" fillId="2" borderId="6" xfId="0" applyNumberFormat="1" applyFont="1" applyFill="1" applyBorder="1" applyAlignment="1">
      <alignment horizontal="center" vertical="center" wrapText="1"/>
    </xf>
    <xf numFmtId="167" fontId="7" fillId="2" borderId="6" xfId="4" applyNumberFormat="1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 wrapText="1"/>
    </xf>
    <xf numFmtId="164" fontId="7" fillId="2" borderId="6" xfId="0" applyNumberFormat="1" applyFont="1" applyFill="1" applyBorder="1" applyAlignment="1">
      <alignment horizontal="center" vertical="center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6" fontId="7" fillId="2" borderId="6" xfId="0" applyNumberFormat="1" applyFont="1" applyFill="1" applyBorder="1" applyAlignment="1">
      <alignment horizontal="center" vertical="center" wrapText="1"/>
    </xf>
    <xf numFmtId="166" fontId="7" fillId="0" borderId="6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left" vertical="top"/>
    </xf>
    <xf numFmtId="49" fontId="3" fillId="0" borderId="6" xfId="0" applyNumberFormat="1" applyFont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4" fillId="0" borderId="0" xfId="0" applyFont="1" applyAlignment="1">
      <alignment vertical="top"/>
    </xf>
    <xf numFmtId="0" fontId="3" fillId="0" borderId="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4" fontId="3" fillId="2" borderId="6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6" xfId="1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top" wrapText="1"/>
    </xf>
    <xf numFmtId="49" fontId="3" fillId="2" borderId="11" xfId="0" applyNumberFormat="1" applyFont="1" applyFill="1" applyBorder="1" applyAlignment="1">
      <alignment horizontal="center" vertical="top" wrapText="1"/>
    </xf>
    <xf numFmtId="49" fontId="3" fillId="2" borderId="13" xfId="0" applyNumberFormat="1" applyFont="1" applyFill="1" applyBorder="1" applyAlignment="1">
      <alignment horizontal="center" vertical="top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/>
    </xf>
    <xf numFmtId="4" fontId="3" fillId="2" borderId="8" xfId="0" applyNumberFormat="1" applyFont="1" applyFill="1" applyBorder="1" applyAlignment="1">
      <alignment horizontal="center" vertical="center"/>
    </xf>
    <xf numFmtId="2" fontId="3" fillId="2" borderId="10" xfId="0" applyNumberFormat="1" applyFont="1" applyFill="1" applyBorder="1" applyAlignment="1">
      <alignment horizontal="center"/>
    </xf>
    <xf numFmtId="2" fontId="3" fillId="2" borderId="8" xfId="0" applyNumberFormat="1" applyFont="1" applyFill="1" applyBorder="1" applyAlignment="1">
      <alignment horizontal="center"/>
    </xf>
    <xf numFmtId="4" fontId="3" fillId="2" borderId="6" xfId="0" applyNumberFormat="1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2" fontId="3" fillId="2" borderId="6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top" wrapText="1"/>
    </xf>
    <xf numFmtId="2" fontId="3" fillId="2" borderId="11" xfId="0" applyNumberFormat="1" applyFont="1" applyFill="1" applyBorder="1" applyAlignment="1">
      <alignment horizontal="center"/>
    </xf>
    <xf numFmtId="2" fontId="3" fillId="2" borderId="14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4" fontId="3" fillId="2" borderId="11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/>
    </xf>
    <xf numFmtId="0" fontId="3" fillId="2" borderId="1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view="pageLayout" zoomScale="80" zoomScaleNormal="80" zoomScaleSheetLayoutView="85" zoomScalePageLayoutView="80" workbookViewId="0">
      <selection activeCell="K3" sqref="K3"/>
    </sheetView>
  </sheetViews>
  <sheetFormatPr defaultRowHeight="15" x14ac:dyDescent="0.25"/>
  <cols>
    <col min="1" max="1" width="29.5703125" style="1" customWidth="1"/>
    <col min="2" max="2" width="9.42578125" style="1" customWidth="1"/>
    <col min="3" max="3" width="57.42578125" style="1" customWidth="1"/>
    <col min="4" max="4" width="49.42578125" style="1" customWidth="1"/>
    <col min="5" max="5" width="19.140625" style="1" customWidth="1"/>
    <col min="6" max="6" width="13.7109375" style="1" customWidth="1"/>
    <col min="7" max="7" width="14.42578125" style="1" customWidth="1"/>
    <col min="8" max="8" width="17.85546875" style="1" customWidth="1"/>
    <col min="9" max="9" width="15.7109375" style="1" customWidth="1"/>
    <col min="10" max="11" width="22.42578125" style="1" customWidth="1"/>
    <col min="12" max="12" width="13.42578125" style="1" customWidth="1"/>
    <col min="13" max="13" width="12.85546875" style="1" customWidth="1"/>
    <col min="14" max="14" width="13.140625" style="1" customWidth="1"/>
    <col min="15" max="16384" width="9.140625" style="1"/>
  </cols>
  <sheetData>
    <row r="1" spans="1:11" ht="24.75" customHeight="1" x14ac:dyDescent="0.25">
      <c r="J1" s="13"/>
      <c r="K1" s="13" t="s">
        <v>21</v>
      </c>
    </row>
    <row r="2" spans="1:11" ht="29.25" customHeight="1" x14ac:dyDescent="0.25">
      <c r="H2" s="123" t="s">
        <v>6</v>
      </c>
      <c r="I2" s="123"/>
      <c r="J2" s="123"/>
      <c r="K2" s="123"/>
    </row>
    <row r="3" spans="1:11" ht="24" customHeight="1" x14ac:dyDescent="0.25">
      <c r="J3" s="13"/>
      <c r="K3" s="13" t="s">
        <v>303</v>
      </c>
    </row>
    <row r="4" spans="1:11" ht="24" customHeight="1" x14ac:dyDescent="0.25">
      <c r="J4" s="13"/>
      <c r="K4" s="13" t="s">
        <v>22</v>
      </c>
    </row>
    <row r="5" spans="1:11" ht="22.5" customHeight="1" x14ac:dyDescent="0.25">
      <c r="D5" s="29" t="s">
        <v>94</v>
      </c>
      <c r="J5" s="13"/>
      <c r="K5" s="13"/>
    </row>
    <row r="6" spans="1:11" x14ac:dyDescent="0.25">
      <c r="J6" s="13"/>
      <c r="K6" s="13"/>
    </row>
    <row r="7" spans="1:11" ht="41.25" customHeight="1" x14ac:dyDescent="0.25">
      <c r="A7" s="15" t="s">
        <v>42</v>
      </c>
      <c r="B7" s="129" t="s">
        <v>43</v>
      </c>
      <c r="C7" s="129"/>
      <c r="D7" s="23" t="s">
        <v>44</v>
      </c>
      <c r="E7" s="130" t="s">
        <v>93</v>
      </c>
      <c r="F7" s="130"/>
      <c r="G7" s="130"/>
      <c r="H7" s="130"/>
      <c r="I7" s="130"/>
      <c r="J7" s="130"/>
      <c r="K7" s="130"/>
    </row>
    <row r="8" spans="1:11" ht="34.5" customHeight="1" x14ac:dyDescent="0.25">
      <c r="A8" s="14" t="s">
        <v>45</v>
      </c>
      <c r="B8" s="129" t="s">
        <v>52</v>
      </c>
      <c r="C8" s="129"/>
      <c r="D8" s="129"/>
      <c r="E8" s="129"/>
      <c r="F8" s="129"/>
      <c r="G8" s="129"/>
      <c r="H8" s="129"/>
      <c r="I8" s="129"/>
      <c r="J8" s="129"/>
      <c r="K8" s="129"/>
    </row>
    <row r="9" spans="1:11" ht="60" customHeight="1" x14ac:dyDescent="0.25">
      <c r="A9" s="15" t="s">
        <v>46</v>
      </c>
      <c r="B9" s="129" t="s">
        <v>53</v>
      </c>
      <c r="C9" s="129"/>
      <c r="D9" s="129"/>
      <c r="E9" s="129"/>
      <c r="F9" s="129"/>
      <c r="G9" s="129"/>
      <c r="H9" s="129"/>
      <c r="I9" s="129"/>
      <c r="J9" s="129"/>
      <c r="K9" s="129"/>
    </row>
    <row r="10" spans="1:11" ht="66" customHeight="1" x14ac:dyDescent="0.25">
      <c r="A10" s="15" t="s">
        <v>47</v>
      </c>
      <c r="B10" s="129" t="s">
        <v>54</v>
      </c>
      <c r="C10" s="129"/>
      <c r="D10" s="129"/>
      <c r="E10" s="129"/>
      <c r="F10" s="129"/>
      <c r="G10" s="129"/>
      <c r="H10" s="129"/>
      <c r="I10" s="129"/>
      <c r="J10" s="129"/>
      <c r="K10" s="129"/>
    </row>
    <row r="11" spans="1:11" ht="48.75" customHeight="1" x14ac:dyDescent="0.25">
      <c r="A11" s="16" t="s">
        <v>48</v>
      </c>
      <c r="B11" s="128" t="s">
        <v>89</v>
      </c>
      <c r="C11" s="128"/>
      <c r="D11" s="128"/>
      <c r="E11" s="128"/>
      <c r="F11" s="128"/>
      <c r="G11" s="128"/>
      <c r="H11" s="128"/>
      <c r="I11" s="128"/>
      <c r="J11" s="128"/>
      <c r="K11" s="128"/>
    </row>
    <row r="12" spans="1:11" ht="86.25" customHeight="1" x14ac:dyDescent="0.25">
      <c r="A12" s="15" t="s">
        <v>49</v>
      </c>
      <c r="B12" s="129" t="s">
        <v>55</v>
      </c>
      <c r="C12" s="129"/>
      <c r="D12" s="129"/>
      <c r="E12" s="129"/>
      <c r="F12" s="129"/>
      <c r="G12" s="129"/>
      <c r="H12" s="129"/>
      <c r="I12" s="129"/>
      <c r="J12" s="129"/>
      <c r="K12" s="129"/>
    </row>
    <row r="13" spans="1:11" ht="92.25" customHeight="1" x14ac:dyDescent="0.25">
      <c r="A13" s="15" t="s">
        <v>50</v>
      </c>
      <c r="B13" s="129" t="s">
        <v>56</v>
      </c>
      <c r="C13" s="129"/>
      <c r="D13" s="129"/>
      <c r="E13" s="129"/>
      <c r="F13" s="129"/>
      <c r="G13" s="129"/>
      <c r="H13" s="129"/>
      <c r="I13" s="129"/>
      <c r="J13" s="129"/>
      <c r="K13" s="129"/>
    </row>
    <row r="14" spans="1:11" ht="115.5" customHeight="1" x14ac:dyDescent="0.25">
      <c r="A14" s="15" t="s">
        <v>51</v>
      </c>
      <c r="B14" s="129" t="s">
        <v>57</v>
      </c>
      <c r="C14" s="129"/>
      <c r="D14" s="129"/>
      <c r="E14" s="129"/>
      <c r="F14" s="129"/>
      <c r="G14" s="129"/>
      <c r="H14" s="129"/>
      <c r="I14" s="129"/>
      <c r="J14" s="129"/>
      <c r="K14" s="129"/>
    </row>
    <row r="15" spans="1:11" ht="15" customHeight="1" x14ac:dyDescent="0.25">
      <c r="A15" s="140" t="s">
        <v>23</v>
      </c>
      <c r="B15" s="125" t="s">
        <v>24</v>
      </c>
      <c r="C15" s="125" t="s">
        <v>25</v>
      </c>
      <c r="D15" s="124" t="s">
        <v>26</v>
      </c>
      <c r="E15" s="125" t="s">
        <v>27</v>
      </c>
      <c r="F15" s="126"/>
      <c r="G15" s="126"/>
      <c r="H15" s="127"/>
      <c r="I15" s="127"/>
      <c r="J15" s="121" t="s">
        <v>28</v>
      </c>
      <c r="K15" s="121" t="s">
        <v>29</v>
      </c>
    </row>
    <row r="16" spans="1:11" ht="50.25" customHeight="1" x14ac:dyDescent="0.25">
      <c r="A16" s="141"/>
      <c r="B16" s="121"/>
      <c r="C16" s="121"/>
      <c r="D16" s="125"/>
      <c r="E16" s="121"/>
      <c r="F16" s="18">
        <v>2023</v>
      </c>
      <c r="G16" s="18">
        <v>2024</v>
      </c>
      <c r="H16" s="18">
        <v>2025</v>
      </c>
      <c r="I16" s="18">
        <v>2026</v>
      </c>
      <c r="J16" s="121"/>
      <c r="K16" s="121"/>
    </row>
    <row r="17" spans="1:11" x14ac:dyDescent="0.25">
      <c r="A17" s="141"/>
      <c r="B17" s="18">
        <v>1</v>
      </c>
      <c r="C17" s="18">
        <v>2</v>
      </c>
      <c r="D17" s="18">
        <v>3</v>
      </c>
      <c r="E17" s="18">
        <v>4</v>
      </c>
      <c r="F17" s="18">
        <v>5</v>
      </c>
      <c r="G17" s="18">
        <v>6</v>
      </c>
      <c r="H17" s="18">
        <v>7</v>
      </c>
      <c r="I17" s="18">
        <v>8</v>
      </c>
      <c r="J17" s="18">
        <v>9</v>
      </c>
      <c r="K17" s="18">
        <v>10</v>
      </c>
    </row>
    <row r="18" spans="1:11" ht="228.75" customHeight="1" x14ac:dyDescent="0.25">
      <c r="A18" s="141"/>
      <c r="B18" s="33">
        <v>1</v>
      </c>
      <c r="C18" s="8" t="s">
        <v>59</v>
      </c>
      <c r="D18" s="3" t="s">
        <v>30</v>
      </c>
      <c r="E18" s="18">
        <v>0</v>
      </c>
      <c r="F18" s="25">
        <v>5.1499999999999997E-2</v>
      </c>
      <c r="G18" s="25">
        <v>0.14299999999999999</v>
      </c>
      <c r="H18" s="25">
        <v>0</v>
      </c>
      <c r="I18" s="18">
        <v>0</v>
      </c>
      <c r="J18" s="18">
        <f>'Приложение 4 (таблица 6)'!P14</f>
        <v>1.5555000000000003</v>
      </c>
      <c r="K18" s="18" t="s">
        <v>4</v>
      </c>
    </row>
    <row r="19" spans="1:11" ht="309" customHeight="1" x14ac:dyDescent="0.25">
      <c r="A19" s="141"/>
      <c r="B19" s="33">
        <v>2</v>
      </c>
      <c r="C19" s="8" t="s">
        <v>60</v>
      </c>
      <c r="D19" s="3" t="s">
        <v>31</v>
      </c>
      <c r="E19" s="18">
        <v>2</v>
      </c>
      <c r="F19" s="25">
        <v>2</v>
      </c>
      <c r="G19" s="25">
        <v>2</v>
      </c>
      <c r="H19" s="25">
        <v>0</v>
      </c>
      <c r="I19" s="18">
        <v>0</v>
      </c>
      <c r="J19" s="18">
        <v>2</v>
      </c>
      <c r="K19" s="18" t="s">
        <v>4</v>
      </c>
    </row>
    <row r="20" spans="1:11" ht="41.25" customHeight="1" x14ac:dyDescent="0.25">
      <c r="A20" s="141"/>
      <c r="B20" s="33">
        <v>3</v>
      </c>
      <c r="C20" s="8" t="s">
        <v>61</v>
      </c>
      <c r="D20" s="3" t="s">
        <v>15</v>
      </c>
      <c r="E20" s="18">
        <v>0</v>
      </c>
      <c r="F20" s="25">
        <v>0</v>
      </c>
      <c r="G20" s="25">
        <v>0</v>
      </c>
      <c r="H20" s="25">
        <v>0</v>
      </c>
      <c r="I20" s="18">
        <v>0</v>
      </c>
      <c r="J20" s="18">
        <v>1</v>
      </c>
      <c r="K20" s="18" t="s">
        <v>5</v>
      </c>
    </row>
    <row r="21" spans="1:11" ht="103.5" customHeight="1" x14ac:dyDescent="0.25">
      <c r="A21" s="141"/>
      <c r="B21" s="33">
        <v>4</v>
      </c>
      <c r="C21" s="8" t="s">
        <v>62</v>
      </c>
      <c r="D21" s="21" t="s">
        <v>32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9" t="s">
        <v>20</v>
      </c>
      <c r="K21" s="18" t="s">
        <v>4</v>
      </c>
    </row>
    <row r="22" spans="1:11" ht="66.75" customHeight="1" x14ac:dyDescent="0.25">
      <c r="A22" s="141"/>
      <c r="B22" s="33">
        <v>5</v>
      </c>
      <c r="C22" s="30" t="s">
        <v>63</v>
      </c>
      <c r="D22" s="118" t="s">
        <v>33</v>
      </c>
      <c r="E22" s="17">
        <v>100</v>
      </c>
      <c r="F22" s="24">
        <v>100</v>
      </c>
      <c r="G22" s="24">
        <v>100</v>
      </c>
      <c r="H22" s="24">
        <v>100</v>
      </c>
      <c r="I22" s="17">
        <v>100</v>
      </c>
      <c r="J22" s="17">
        <v>100</v>
      </c>
      <c r="K22" s="18" t="s">
        <v>4</v>
      </c>
    </row>
    <row r="23" spans="1:11" ht="60" x14ac:dyDescent="0.25">
      <c r="A23" s="141"/>
      <c r="B23" s="33">
        <v>6</v>
      </c>
      <c r="C23" s="30" t="s">
        <v>64</v>
      </c>
      <c r="D23" s="119"/>
      <c r="E23" s="17">
        <v>100</v>
      </c>
      <c r="F23" s="24">
        <v>100</v>
      </c>
      <c r="G23" s="24">
        <v>100</v>
      </c>
      <c r="H23" s="24">
        <v>100</v>
      </c>
      <c r="I23" s="17">
        <v>100</v>
      </c>
      <c r="J23" s="17">
        <v>100</v>
      </c>
      <c r="K23" s="18" t="s">
        <v>4</v>
      </c>
    </row>
    <row r="24" spans="1:11" ht="69.75" customHeight="1" x14ac:dyDescent="0.25">
      <c r="A24" s="141"/>
      <c r="B24" s="33">
        <v>7</v>
      </c>
      <c r="C24" s="30" t="s">
        <v>65</v>
      </c>
      <c r="D24" s="119"/>
      <c r="E24" s="17">
        <v>100</v>
      </c>
      <c r="F24" s="24">
        <v>100</v>
      </c>
      <c r="G24" s="24">
        <v>100</v>
      </c>
      <c r="H24" s="24">
        <v>100</v>
      </c>
      <c r="I24" s="17">
        <v>100</v>
      </c>
      <c r="J24" s="17">
        <v>100</v>
      </c>
      <c r="K24" s="18" t="s">
        <v>4</v>
      </c>
    </row>
    <row r="25" spans="1:11" ht="66" customHeight="1" x14ac:dyDescent="0.25">
      <c r="A25" s="141"/>
      <c r="B25" s="33">
        <v>8</v>
      </c>
      <c r="C25" s="30" t="s">
        <v>66</v>
      </c>
      <c r="D25" s="119"/>
      <c r="E25" s="17">
        <v>100</v>
      </c>
      <c r="F25" s="24">
        <v>100</v>
      </c>
      <c r="G25" s="24">
        <v>100</v>
      </c>
      <c r="H25" s="24">
        <v>100</v>
      </c>
      <c r="I25" s="17">
        <v>100</v>
      </c>
      <c r="J25" s="17">
        <v>100</v>
      </c>
      <c r="K25" s="18" t="s">
        <v>4</v>
      </c>
    </row>
    <row r="26" spans="1:11" ht="60" x14ac:dyDescent="0.25">
      <c r="A26" s="141"/>
      <c r="B26" s="33">
        <v>9</v>
      </c>
      <c r="C26" s="30" t="s">
        <v>67</v>
      </c>
      <c r="D26" s="119"/>
      <c r="E26" s="19">
        <v>48.33</v>
      </c>
      <c r="F26" s="19">
        <v>48.19</v>
      </c>
      <c r="G26" s="19">
        <v>48.19</v>
      </c>
      <c r="H26" s="19">
        <v>48.19</v>
      </c>
      <c r="I26" s="19">
        <v>48.19</v>
      </c>
      <c r="J26" s="19">
        <v>48.19</v>
      </c>
      <c r="K26" s="18" t="s">
        <v>4</v>
      </c>
    </row>
    <row r="27" spans="1:11" ht="45" x14ac:dyDescent="0.25">
      <c r="A27" s="141"/>
      <c r="B27" s="33">
        <v>10</v>
      </c>
      <c r="C27" s="30" t="s">
        <v>68</v>
      </c>
      <c r="D27" s="119"/>
      <c r="E27" s="5">
        <v>0.21990000000000001</v>
      </c>
      <c r="F27" s="5">
        <f>0.2199*99.9%</f>
        <v>0.21968010000000004</v>
      </c>
      <c r="G27" s="5">
        <v>0.21970000000000001</v>
      </c>
      <c r="H27" s="5">
        <f>0.2199*99.9%</f>
        <v>0.21968010000000004</v>
      </c>
      <c r="I27" s="5">
        <f>0.2199*99.9%</f>
        <v>0.21968010000000004</v>
      </c>
      <c r="J27" s="5">
        <v>0.21968010000000004</v>
      </c>
      <c r="K27" s="18" t="s">
        <v>4</v>
      </c>
    </row>
    <row r="28" spans="1:11" ht="45" x14ac:dyDescent="0.25">
      <c r="A28" s="141"/>
      <c r="B28" s="33">
        <v>11</v>
      </c>
      <c r="C28" s="30" t="s">
        <v>69</v>
      </c>
      <c r="D28" s="119"/>
      <c r="E28" s="19">
        <v>8.9600000000000009</v>
      </c>
      <c r="F28" s="6">
        <v>8.94</v>
      </c>
      <c r="G28" s="6">
        <v>8.94</v>
      </c>
      <c r="H28" s="6">
        <v>8.94</v>
      </c>
      <c r="I28" s="6">
        <v>8.94</v>
      </c>
      <c r="J28" s="19">
        <v>8.9510400000000025</v>
      </c>
      <c r="K28" s="18" t="s">
        <v>4</v>
      </c>
    </row>
    <row r="29" spans="1:11" ht="45" x14ac:dyDescent="0.25">
      <c r="A29" s="141"/>
      <c r="B29" s="33">
        <v>12</v>
      </c>
      <c r="C29" s="30" t="s">
        <v>70</v>
      </c>
      <c r="D29" s="119"/>
      <c r="E29" s="19">
        <v>4.68</v>
      </c>
      <c r="F29" s="6">
        <v>4.67</v>
      </c>
      <c r="G29" s="6">
        <f>F29*99.9%</f>
        <v>4.6653300000000009</v>
      </c>
      <c r="H29" s="6">
        <v>4.67</v>
      </c>
      <c r="I29" s="6">
        <v>4.67</v>
      </c>
      <c r="J29" s="19">
        <v>4.67</v>
      </c>
      <c r="K29" s="18" t="s">
        <v>4</v>
      </c>
    </row>
    <row r="30" spans="1:11" ht="96" customHeight="1" x14ac:dyDescent="0.25">
      <c r="A30" s="141"/>
      <c r="B30" s="33">
        <v>13</v>
      </c>
      <c r="C30" s="30" t="s">
        <v>71</v>
      </c>
      <c r="D30" s="119"/>
      <c r="E30" s="17">
        <v>0</v>
      </c>
      <c r="F30" s="24">
        <v>0</v>
      </c>
      <c r="G30" s="24">
        <v>0</v>
      </c>
      <c r="H30" s="24">
        <v>0</v>
      </c>
      <c r="I30" s="17">
        <v>0</v>
      </c>
      <c r="J30" s="17">
        <v>0</v>
      </c>
      <c r="K30" s="18" t="s">
        <v>4</v>
      </c>
    </row>
    <row r="31" spans="1:11" ht="52.5" customHeight="1" x14ac:dyDescent="0.25">
      <c r="A31" s="141"/>
      <c r="B31" s="33">
        <v>14</v>
      </c>
      <c r="C31" s="30" t="s">
        <v>72</v>
      </c>
      <c r="D31" s="119"/>
      <c r="E31" s="17">
        <v>0</v>
      </c>
      <c r="F31" s="24">
        <v>0</v>
      </c>
      <c r="G31" s="24">
        <v>0</v>
      </c>
      <c r="H31" s="24">
        <v>0</v>
      </c>
      <c r="I31" s="17">
        <v>0</v>
      </c>
      <c r="J31" s="18">
        <v>3</v>
      </c>
      <c r="K31" s="18" t="s">
        <v>4</v>
      </c>
    </row>
    <row r="32" spans="1:11" ht="30" x14ac:dyDescent="0.25">
      <c r="A32" s="141"/>
      <c r="B32" s="33">
        <v>15</v>
      </c>
      <c r="C32" s="31" t="s">
        <v>73</v>
      </c>
      <c r="D32" s="119"/>
      <c r="E32" s="19">
        <f>73675/278428.2</f>
        <v>0.26461040943410186</v>
      </c>
      <c r="F32" s="19">
        <f>0.25*99.9%</f>
        <v>0.24975000000000003</v>
      </c>
      <c r="G32" s="19">
        <f>F32*99.9%</f>
        <v>0.24950025000000006</v>
      </c>
      <c r="H32" s="19">
        <f>G32*99.9%</f>
        <v>0.24925074975000008</v>
      </c>
      <c r="I32" s="19">
        <f>H32*99.9%</f>
        <v>0.24900149900025012</v>
      </c>
      <c r="J32" s="19">
        <v>0.24800698601748625</v>
      </c>
      <c r="K32" s="18" t="s">
        <v>4</v>
      </c>
    </row>
    <row r="33" spans="1:11" ht="30" x14ac:dyDescent="0.25">
      <c r="A33" s="141"/>
      <c r="B33" s="33">
        <v>16</v>
      </c>
      <c r="C33" s="31" t="s">
        <v>74</v>
      </c>
      <c r="D33" s="119"/>
      <c r="E33" s="19">
        <v>24.02</v>
      </c>
      <c r="F33" s="19">
        <v>23.97</v>
      </c>
      <c r="G33" s="19">
        <f>F33*99.9%</f>
        <v>23.94603</v>
      </c>
      <c r="H33" s="19">
        <v>23.97</v>
      </c>
      <c r="I33" s="19">
        <v>23.97</v>
      </c>
      <c r="J33" s="19">
        <v>23.97</v>
      </c>
      <c r="K33" s="18" t="s">
        <v>4</v>
      </c>
    </row>
    <row r="34" spans="1:11" ht="30" x14ac:dyDescent="0.25">
      <c r="A34" s="141"/>
      <c r="B34" s="33">
        <v>17</v>
      </c>
      <c r="C34" s="31" t="s">
        <v>75</v>
      </c>
      <c r="D34" s="119"/>
      <c r="E34" s="19">
        <f>238560/15615</f>
        <v>15.2776176753122</v>
      </c>
      <c r="F34" s="19">
        <v>15.24</v>
      </c>
      <c r="G34" s="19">
        <v>15.24</v>
      </c>
      <c r="H34" s="19">
        <v>15.24</v>
      </c>
      <c r="I34" s="19">
        <v>15.24</v>
      </c>
      <c r="J34" s="19">
        <v>15.24</v>
      </c>
      <c r="K34" s="18" t="s">
        <v>4</v>
      </c>
    </row>
    <row r="35" spans="1:11" ht="30" x14ac:dyDescent="0.25">
      <c r="A35" s="141"/>
      <c r="B35" s="33">
        <v>18</v>
      </c>
      <c r="C35" s="31" t="s">
        <v>76</v>
      </c>
      <c r="D35" s="119"/>
      <c r="E35" s="19">
        <v>46.44</v>
      </c>
      <c r="F35" s="19">
        <v>46.35</v>
      </c>
      <c r="G35" s="19">
        <f>F35*99.9%</f>
        <v>46.303650000000005</v>
      </c>
      <c r="H35" s="19">
        <v>46.35</v>
      </c>
      <c r="I35" s="19">
        <v>46.35</v>
      </c>
      <c r="J35" s="19">
        <v>46.35</v>
      </c>
      <c r="K35" s="18" t="s">
        <v>4</v>
      </c>
    </row>
    <row r="36" spans="1:11" ht="30" x14ac:dyDescent="0.25">
      <c r="A36" s="141"/>
      <c r="B36" s="33">
        <v>19</v>
      </c>
      <c r="C36" s="31" t="s">
        <v>77</v>
      </c>
      <c r="D36" s="119"/>
      <c r="E36" s="7">
        <f>((13724.46*0.3446)+(73675*0.1486))/278428.2</f>
        <v>5.6307349313036541E-2</v>
      </c>
      <c r="F36" s="7">
        <f>0.053*99.9%</f>
        <v>5.2947000000000001E-2</v>
      </c>
      <c r="G36" s="7">
        <f>F36*99.9%</f>
        <v>5.2894053000000003E-2</v>
      </c>
      <c r="H36" s="7">
        <f>G36*99.9%</f>
        <v>5.2841158947000012E-2</v>
      </c>
      <c r="I36" s="7">
        <f>H36*99.9%</f>
        <v>5.278831778805302E-2</v>
      </c>
      <c r="J36" s="7">
        <v>5.2577481035707085E-2</v>
      </c>
      <c r="K36" s="18" t="s">
        <v>4</v>
      </c>
    </row>
    <row r="37" spans="1:11" ht="30.75" customHeight="1" x14ac:dyDescent="0.25">
      <c r="A37" s="141"/>
      <c r="B37" s="33">
        <v>20</v>
      </c>
      <c r="C37" s="31" t="s">
        <v>78</v>
      </c>
      <c r="D37" s="119"/>
      <c r="E37" s="19">
        <v>150.85</v>
      </c>
      <c r="F37" s="19">
        <v>150.85</v>
      </c>
      <c r="G37" s="19">
        <v>150.85</v>
      </c>
      <c r="H37" s="19">
        <v>150.85</v>
      </c>
      <c r="I37" s="19">
        <v>150.85</v>
      </c>
      <c r="J37" s="19">
        <v>150.85</v>
      </c>
      <c r="K37" s="18" t="s">
        <v>4</v>
      </c>
    </row>
    <row r="38" spans="1:11" ht="49.5" customHeight="1" x14ac:dyDescent="0.25">
      <c r="A38" s="141"/>
      <c r="B38" s="33">
        <v>21</v>
      </c>
      <c r="C38" s="31" t="s">
        <v>79</v>
      </c>
      <c r="D38" s="119"/>
      <c r="E38" s="19">
        <v>12.6</v>
      </c>
      <c r="F38" s="19">
        <v>12.6</v>
      </c>
      <c r="G38" s="19">
        <v>12.6</v>
      </c>
      <c r="H38" s="19">
        <v>12.6</v>
      </c>
      <c r="I38" s="19">
        <v>12.6</v>
      </c>
      <c r="J38" s="19">
        <v>12.6</v>
      </c>
      <c r="K38" s="18" t="s">
        <v>4</v>
      </c>
    </row>
    <row r="39" spans="1:11" ht="30" x14ac:dyDescent="0.25">
      <c r="A39" s="141"/>
      <c r="B39" s="33">
        <v>22</v>
      </c>
      <c r="C39" s="31" t="s">
        <v>80</v>
      </c>
      <c r="D39" s="119"/>
      <c r="E39" s="19">
        <v>10.58</v>
      </c>
      <c r="F39" s="19">
        <v>10.58</v>
      </c>
      <c r="G39" s="19">
        <v>10.58</v>
      </c>
      <c r="H39" s="19">
        <v>10.58</v>
      </c>
      <c r="I39" s="19">
        <v>10.58</v>
      </c>
      <c r="J39" s="19">
        <v>10.58</v>
      </c>
      <c r="K39" s="18" t="s">
        <v>4</v>
      </c>
    </row>
    <row r="40" spans="1:11" ht="28.5" customHeight="1" x14ac:dyDescent="0.25">
      <c r="A40" s="141"/>
      <c r="B40" s="33">
        <v>23</v>
      </c>
      <c r="C40" s="31" t="s">
        <v>81</v>
      </c>
      <c r="D40" s="119"/>
      <c r="E40" s="19">
        <v>3.95</v>
      </c>
      <c r="F40" s="19">
        <v>3.95</v>
      </c>
      <c r="G40" s="19">
        <v>3.95</v>
      </c>
      <c r="H40" s="19">
        <v>3.95</v>
      </c>
      <c r="I40" s="19">
        <v>3.95</v>
      </c>
      <c r="J40" s="19">
        <v>3.95</v>
      </c>
      <c r="K40" s="18" t="s">
        <v>4</v>
      </c>
    </row>
    <row r="41" spans="1:11" ht="45" x14ac:dyDescent="0.25">
      <c r="A41" s="141"/>
      <c r="B41" s="33">
        <v>24</v>
      </c>
      <c r="C41" s="31" t="s">
        <v>10</v>
      </c>
      <c r="D41" s="119"/>
      <c r="E41" s="19">
        <v>0.73</v>
      </c>
      <c r="F41" s="19">
        <v>0.73</v>
      </c>
      <c r="G41" s="19">
        <v>0.73</v>
      </c>
      <c r="H41" s="19">
        <v>0.73</v>
      </c>
      <c r="I41" s="19">
        <v>0.73</v>
      </c>
      <c r="J41" s="19">
        <v>0.73</v>
      </c>
      <c r="K41" s="18" t="s">
        <v>4</v>
      </c>
    </row>
    <row r="42" spans="1:11" ht="30" x14ac:dyDescent="0.25">
      <c r="A42" s="141"/>
      <c r="B42" s="33">
        <v>25</v>
      </c>
      <c r="C42" s="31" t="s">
        <v>82</v>
      </c>
      <c r="D42" s="119"/>
      <c r="E42" s="19">
        <v>1.51</v>
      </c>
      <c r="F42" s="19">
        <v>1.48</v>
      </c>
      <c r="G42" s="19">
        <v>1.47</v>
      </c>
      <c r="H42" s="19">
        <v>1.46</v>
      </c>
      <c r="I42" s="19">
        <v>1.46</v>
      </c>
      <c r="J42" s="19">
        <v>1.43</v>
      </c>
      <c r="K42" s="18" t="s">
        <v>4</v>
      </c>
    </row>
    <row r="43" spans="1:11" ht="65.25" customHeight="1" x14ac:dyDescent="0.25">
      <c r="A43" s="141"/>
      <c r="B43" s="33">
        <v>26</v>
      </c>
      <c r="C43" s="31" t="s">
        <v>90</v>
      </c>
      <c r="D43" s="120"/>
      <c r="E43" s="22" t="s">
        <v>91</v>
      </c>
      <c r="F43" s="25" t="s">
        <v>91</v>
      </c>
      <c r="G43" s="25" t="s">
        <v>91</v>
      </c>
      <c r="H43" s="25" t="s">
        <v>91</v>
      </c>
      <c r="I43" s="22" t="s">
        <v>91</v>
      </c>
      <c r="J43" s="22" t="s">
        <v>91</v>
      </c>
      <c r="K43" s="18" t="s">
        <v>4</v>
      </c>
    </row>
    <row r="44" spans="1:11" ht="45.75" customHeight="1" x14ac:dyDescent="0.25">
      <c r="A44" s="141"/>
      <c r="B44" s="33">
        <v>27</v>
      </c>
      <c r="C44" s="8" t="s">
        <v>83</v>
      </c>
      <c r="D44" s="3" t="s">
        <v>16</v>
      </c>
      <c r="E44" s="17">
        <v>5</v>
      </c>
      <c r="F44" s="24">
        <v>0</v>
      </c>
      <c r="G44" s="24">
        <v>0</v>
      </c>
      <c r="H44" s="24">
        <v>0</v>
      </c>
      <c r="I44" s="17">
        <v>0</v>
      </c>
      <c r="J44" s="18">
        <v>0</v>
      </c>
      <c r="K44" s="18" t="s">
        <v>5</v>
      </c>
    </row>
    <row r="45" spans="1:11" ht="45" x14ac:dyDescent="0.25">
      <c r="A45" s="141"/>
      <c r="B45" s="33">
        <v>28</v>
      </c>
      <c r="C45" s="8" t="s">
        <v>84</v>
      </c>
      <c r="D45" s="3" t="s">
        <v>17</v>
      </c>
      <c r="E45" s="17">
        <v>30</v>
      </c>
      <c r="F45" s="24">
        <v>19</v>
      </c>
      <c r="G45" s="24">
        <v>18</v>
      </c>
      <c r="H45" s="24">
        <v>17</v>
      </c>
      <c r="I45" s="17">
        <v>17</v>
      </c>
      <c r="J45" s="18">
        <v>0</v>
      </c>
      <c r="K45" s="18" t="s">
        <v>4</v>
      </c>
    </row>
    <row r="46" spans="1:11" ht="48.75" customHeight="1" x14ac:dyDescent="0.25">
      <c r="A46" s="141"/>
      <c r="B46" s="33">
        <v>29</v>
      </c>
      <c r="C46" s="8" t="s">
        <v>85</v>
      </c>
      <c r="D46" s="3" t="s">
        <v>18</v>
      </c>
      <c r="E46" s="17">
        <v>3</v>
      </c>
      <c r="F46" s="24">
        <v>0</v>
      </c>
      <c r="G46" s="24">
        <v>0</v>
      </c>
      <c r="H46" s="24">
        <v>0</v>
      </c>
      <c r="I46" s="17">
        <v>0</v>
      </c>
      <c r="J46" s="18">
        <v>0</v>
      </c>
      <c r="K46" s="18" t="s">
        <v>4</v>
      </c>
    </row>
    <row r="47" spans="1:11" ht="128.25" customHeight="1" x14ac:dyDescent="0.25">
      <c r="A47" s="141"/>
      <c r="B47" s="33">
        <v>30</v>
      </c>
      <c r="C47" s="8" t="s">
        <v>86</v>
      </c>
      <c r="D47" s="3" t="s">
        <v>34</v>
      </c>
      <c r="E47" s="17">
        <v>0</v>
      </c>
      <c r="F47" s="24">
        <v>0</v>
      </c>
      <c r="G47" s="24">
        <v>0</v>
      </c>
      <c r="H47" s="24">
        <v>0</v>
      </c>
      <c r="I47" s="17">
        <v>0</v>
      </c>
      <c r="J47" s="17">
        <v>7</v>
      </c>
      <c r="K47" s="18" t="s">
        <v>4</v>
      </c>
    </row>
    <row r="48" spans="1:11" ht="72.75" customHeight="1" x14ac:dyDescent="0.25">
      <c r="A48" s="141"/>
      <c r="B48" s="33">
        <v>31</v>
      </c>
      <c r="C48" s="8" t="s">
        <v>87</v>
      </c>
      <c r="D48" s="3" t="s">
        <v>19</v>
      </c>
      <c r="E48" s="17">
        <v>0</v>
      </c>
      <c r="F48" s="24">
        <v>0</v>
      </c>
      <c r="G48" s="24">
        <v>0</v>
      </c>
      <c r="H48" s="24">
        <v>0</v>
      </c>
      <c r="I48" s="17">
        <v>0</v>
      </c>
      <c r="J48" s="9" t="s">
        <v>11</v>
      </c>
      <c r="K48" s="18" t="s">
        <v>5</v>
      </c>
    </row>
    <row r="49" spans="1:14" ht="31.5" customHeight="1" x14ac:dyDescent="0.25">
      <c r="A49" s="141"/>
      <c r="B49" s="33">
        <v>32</v>
      </c>
      <c r="C49" s="8" t="s">
        <v>88</v>
      </c>
      <c r="D49" s="118" t="s">
        <v>35</v>
      </c>
      <c r="E49" s="17">
        <v>0</v>
      </c>
      <c r="F49" s="24">
        <v>0</v>
      </c>
      <c r="G49" s="24">
        <v>0</v>
      </c>
      <c r="H49" s="24">
        <v>0</v>
      </c>
      <c r="I49" s="17">
        <v>0</v>
      </c>
      <c r="J49" s="18">
        <v>0</v>
      </c>
      <c r="K49" s="18" t="s">
        <v>4</v>
      </c>
    </row>
    <row r="50" spans="1:14" ht="34.5" customHeight="1" x14ac:dyDescent="0.25">
      <c r="A50" s="141"/>
      <c r="B50" s="32" t="s">
        <v>95</v>
      </c>
      <c r="C50" s="8" t="s">
        <v>12</v>
      </c>
      <c r="D50" s="119"/>
      <c r="E50" s="17">
        <v>0</v>
      </c>
      <c r="F50" s="24">
        <v>0</v>
      </c>
      <c r="G50" s="24">
        <v>0</v>
      </c>
      <c r="H50" s="24">
        <v>0</v>
      </c>
      <c r="I50" s="17">
        <v>0</v>
      </c>
      <c r="J50" s="17">
        <v>0</v>
      </c>
      <c r="K50" s="18" t="s">
        <v>4</v>
      </c>
    </row>
    <row r="51" spans="1:14" x14ac:dyDescent="0.25">
      <c r="A51" s="141"/>
      <c r="B51" s="32" t="s">
        <v>96</v>
      </c>
      <c r="C51" s="8" t="s">
        <v>13</v>
      </c>
      <c r="D51" s="120"/>
      <c r="E51" s="17">
        <v>0</v>
      </c>
      <c r="F51" s="9" t="s">
        <v>14</v>
      </c>
      <c r="G51" s="24">
        <v>0</v>
      </c>
      <c r="H51" s="24">
        <v>0</v>
      </c>
      <c r="I51" s="17">
        <v>0</v>
      </c>
      <c r="J51" s="17">
        <v>24</v>
      </c>
      <c r="K51" s="18" t="s">
        <v>4</v>
      </c>
    </row>
    <row r="52" spans="1:14" ht="204.75" customHeight="1" x14ac:dyDescent="0.25">
      <c r="A52" s="141"/>
      <c r="B52" s="32">
        <v>33</v>
      </c>
      <c r="C52" s="8" t="s">
        <v>97</v>
      </c>
      <c r="D52" s="8" t="s">
        <v>98</v>
      </c>
      <c r="E52" s="27">
        <v>3</v>
      </c>
      <c r="F52" s="9" t="s">
        <v>99</v>
      </c>
      <c r="G52" s="27">
        <v>2</v>
      </c>
      <c r="H52" s="27">
        <v>2</v>
      </c>
      <c r="I52" s="27">
        <v>2</v>
      </c>
      <c r="J52" s="27">
        <v>2</v>
      </c>
      <c r="K52" s="28" t="s">
        <v>4</v>
      </c>
    </row>
    <row r="53" spans="1:14" ht="23.25" customHeight="1" x14ac:dyDescent="0.25">
      <c r="A53" s="118" t="s">
        <v>36</v>
      </c>
      <c r="B53" s="133" t="s">
        <v>0</v>
      </c>
      <c r="C53" s="134"/>
      <c r="D53" s="121" t="s">
        <v>41</v>
      </c>
      <c r="E53" s="121"/>
      <c r="F53" s="116" t="s">
        <v>37</v>
      </c>
      <c r="G53" s="116"/>
      <c r="H53" s="116"/>
      <c r="I53" s="116"/>
      <c r="J53" s="116"/>
      <c r="K53" s="116"/>
    </row>
    <row r="54" spans="1:14" ht="21" customHeight="1" x14ac:dyDescent="0.25">
      <c r="A54" s="119"/>
      <c r="B54" s="135"/>
      <c r="C54" s="136"/>
      <c r="D54" s="121"/>
      <c r="E54" s="121"/>
      <c r="F54" s="26">
        <v>2023</v>
      </c>
      <c r="G54" s="11">
        <v>2024</v>
      </c>
      <c r="H54" s="11">
        <v>2025</v>
      </c>
      <c r="I54" s="11">
        <v>2026</v>
      </c>
      <c r="J54" s="122" t="s">
        <v>92</v>
      </c>
      <c r="K54" s="122"/>
      <c r="L54" s="10"/>
      <c r="M54" s="10"/>
      <c r="N54" s="10"/>
    </row>
    <row r="55" spans="1:14" ht="21.75" customHeight="1" x14ac:dyDescent="0.25">
      <c r="A55" s="119"/>
      <c r="B55" s="117" t="s">
        <v>9</v>
      </c>
      <c r="C55" s="117"/>
      <c r="D55" s="109">
        <v>420406120.88</v>
      </c>
      <c r="E55" s="110"/>
      <c r="F55" s="12">
        <v>45688238.539999999</v>
      </c>
      <c r="G55" s="12">
        <v>35707204.140000001</v>
      </c>
      <c r="H55" s="12">
        <v>34601048.149999999</v>
      </c>
      <c r="I55" s="12">
        <v>0</v>
      </c>
      <c r="J55" s="113">
        <v>0</v>
      </c>
      <c r="K55" s="113"/>
    </row>
    <row r="56" spans="1:14" ht="22.5" customHeight="1" x14ac:dyDescent="0.25">
      <c r="A56" s="119"/>
      <c r="B56" s="117" t="s">
        <v>2</v>
      </c>
      <c r="C56" s="117"/>
      <c r="D56" s="109">
        <v>0</v>
      </c>
      <c r="E56" s="110"/>
      <c r="F56" s="12">
        <v>0</v>
      </c>
      <c r="G56" s="12">
        <v>0</v>
      </c>
      <c r="H56" s="12">
        <v>0</v>
      </c>
      <c r="I56" s="12">
        <v>0</v>
      </c>
      <c r="J56" s="113">
        <v>0</v>
      </c>
      <c r="K56" s="113"/>
    </row>
    <row r="57" spans="1:14" ht="20.25" customHeight="1" x14ac:dyDescent="0.25">
      <c r="A57" s="119"/>
      <c r="B57" s="117" t="s">
        <v>7</v>
      </c>
      <c r="C57" s="117"/>
      <c r="D57" s="109">
        <v>93602700</v>
      </c>
      <c r="E57" s="110"/>
      <c r="F57" s="12">
        <v>277000</v>
      </c>
      <c r="G57" s="12">
        <v>3945800</v>
      </c>
      <c r="H57" s="12">
        <v>3949100</v>
      </c>
      <c r="I57" s="12">
        <v>0</v>
      </c>
      <c r="J57" s="113">
        <v>0</v>
      </c>
      <c r="K57" s="113"/>
    </row>
    <row r="58" spans="1:14" ht="19.5" customHeight="1" x14ac:dyDescent="0.25">
      <c r="A58" s="119"/>
      <c r="B58" s="117" t="s">
        <v>3</v>
      </c>
      <c r="C58" s="117"/>
      <c r="D58" s="109">
        <v>325563420.88</v>
      </c>
      <c r="E58" s="110"/>
      <c r="F58" s="12">
        <v>45411238.539999999</v>
      </c>
      <c r="G58" s="12">
        <v>31761404.140000001</v>
      </c>
      <c r="H58" s="12">
        <v>30651948.149999999</v>
      </c>
      <c r="I58" s="12">
        <v>0</v>
      </c>
      <c r="J58" s="113">
        <v>0</v>
      </c>
      <c r="K58" s="113"/>
    </row>
    <row r="59" spans="1:14" ht="21" customHeight="1" x14ac:dyDescent="0.25">
      <c r="A59" s="120"/>
      <c r="B59" s="117" t="s">
        <v>8</v>
      </c>
      <c r="C59" s="117"/>
      <c r="D59" s="109">
        <v>1240000</v>
      </c>
      <c r="E59" s="110"/>
      <c r="F59" s="12">
        <v>0</v>
      </c>
      <c r="G59" s="12">
        <v>0</v>
      </c>
      <c r="H59" s="12">
        <v>0</v>
      </c>
      <c r="I59" s="12">
        <v>0</v>
      </c>
      <c r="J59" s="113">
        <v>0</v>
      </c>
      <c r="K59" s="113"/>
    </row>
    <row r="60" spans="1:14" ht="17.25" customHeight="1" x14ac:dyDescent="0.25">
      <c r="A60" s="137"/>
      <c r="B60" s="137"/>
      <c r="C60" s="137"/>
      <c r="D60" s="137"/>
      <c r="E60" s="137"/>
      <c r="F60" s="137"/>
      <c r="G60" s="137"/>
      <c r="H60" s="137"/>
      <c r="I60" s="137"/>
      <c r="J60" s="137"/>
      <c r="K60" s="137"/>
    </row>
    <row r="61" spans="1:14" ht="24.75" customHeight="1" x14ac:dyDescent="0.25">
      <c r="A61" s="118" t="s">
        <v>38</v>
      </c>
      <c r="B61" s="131" t="s">
        <v>0</v>
      </c>
      <c r="C61" s="131"/>
      <c r="D61" s="138" t="s">
        <v>37</v>
      </c>
      <c r="E61" s="139"/>
      <c r="F61" s="139"/>
      <c r="G61" s="139"/>
      <c r="H61" s="139"/>
      <c r="I61" s="139"/>
      <c r="J61" s="139"/>
      <c r="K61" s="139"/>
    </row>
    <row r="62" spans="1:14" ht="23.25" customHeight="1" x14ac:dyDescent="0.25">
      <c r="A62" s="119"/>
      <c r="B62" s="132"/>
      <c r="C62" s="132"/>
      <c r="D62" s="111" t="s">
        <v>58</v>
      </c>
      <c r="E62" s="112"/>
      <c r="F62" s="20">
        <v>2023</v>
      </c>
      <c r="G62" s="20">
        <v>2024</v>
      </c>
      <c r="H62" s="20">
        <v>2025</v>
      </c>
      <c r="I62" s="20">
        <v>2026</v>
      </c>
      <c r="J62" s="122" t="s">
        <v>92</v>
      </c>
      <c r="K62" s="122"/>
    </row>
    <row r="63" spans="1:14" ht="47.25" customHeight="1" x14ac:dyDescent="0.25">
      <c r="A63" s="119"/>
      <c r="B63" s="114" t="s">
        <v>40</v>
      </c>
      <c r="C63" s="115"/>
      <c r="D63" s="115"/>
      <c r="E63" s="115"/>
      <c r="F63" s="115"/>
      <c r="G63" s="115"/>
      <c r="H63" s="115"/>
      <c r="I63" s="115"/>
      <c r="J63" s="115"/>
      <c r="K63" s="115"/>
    </row>
    <row r="64" spans="1:14" ht="25.5" customHeight="1" x14ac:dyDescent="0.25">
      <c r="A64" s="119"/>
      <c r="B64" s="117" t="s">
        <v>9</v>
      </c>
      <c r="C64" s="117"/>
      <c r="D64" s="109">
        <v>0</v>
      </c>
      <c r="E64" s="110"/>
      <c r="F64" s="12">
        <v>0</v>
      </c>
      <c r="G64" s="12">
        <v>0</v>
      </c>
      <c r="H64" s="12">
        <v>0</v>
      </c>
      <c r="I64" s="12">
        <v>0</v>
      </c>
      <c r="J64" s="109">
        <v>0</v>
      </c>
      <c r="K64" s="110"/>
    </row>
    <row r="65" spans="1:11" ht="27" customHeight="1" x14ac:dyDescent="0.25">
      <c r="A65" s="119"/>
      <c r="B65" s="117" t="s">
        <v>2</v>
      </c>
      <c r="C65" s="117"/>
      <c r="D65" s="109">
        <v>0</v>
      </c>
      <c r="E65" s="110"/>
      <c r="F65" s="12">
        <v>0</v>
      </c>
      <c r="G65" s="12">
        <v>0</v>
      </c>
      <c r="H65" s="12">
        <v>0</v>
      </c>
      <c r="I65" s="12">
        <v>0</v>
      </c>
      <c r="J65" s="109">
        <v>0</v>
      </c>
      <c r="K65" s="110"/>
    </row>
    <row r="66" spans="1:11" ht="24.75" customHeight="1" x14ac:dyDescent="0.25">
      <c r="A66" s="119"/>
      <c r="B66" s="117" t="s">
        <v>7</v>
      </c>
      <c r="C66" s="117"/>
      <c r="D66" s="109">
        <v>0</v>
      </c>
      <c r="E66" s="110"/>
      <c r="F66" s="12">
        <v>0</v>
      </c>
      <c r="G66" s="12">
        <v>0</v>
      </c>
      <c r="H66" s="12">
        <v>0</v>
      </c>
      <c r="I66" s="12">
        <v>0</v>
      </c>
      <c r="J66" s="109">
        <v>0</v>
      </c>
      <c r="K66" s="110"/>
    </row>
    <row r="67" spans="1:11" ht="27" customHeight="1" x14ac:dyDescent="0.25">
      <c r="A67" s="119"/>
      <c r="B67" s="117" t="s">
        <v>3</v>
      </c>
      <c r="C67" s="117"/>
      <c r="D67" s="109">
        <v>0</v>
      </c>
      <c r="E67" s="110"/>
      <c r="F67" s="12">
        <v>0</v>
      </c>
      <c r="G67" s="12">
        <v>0</v>
      </c>
      <c r="H67" s="12">
        <v>0</v>
      </c>
      <c r="I67" s="12">
        <v>0</v>
      </c>
      <c r="J67" s="109">
        <v>0</v>
      </c>
      <c r="K67" s="110"/>
    </row>
    <row r="68" spans="1:11" ht="25.5" customHeight="1" x14ac:dyDescent="0.25">
      <c r="A68" s="120"/>
      <c r="B68" s="117" t="s">
        <v>8</v>
      </c>
      <c r="C68" s="117"/>
      <c r="D68" s="109">
        <v>0</v>
      </c>
      <c r="E68" s="110"/>
      <c r="F68" s="12">
        <v>0</v>
      </c>
      <c r="G68" s="12">
        <v>0</v>
      </c>
      <c r="H68" s="12">
        <v>0</v>
      </c>
      <c r="I68" s="12">
        <v>0</v>
      </c>
      <c r="J68" s="109">
        <v>0</v>
      </c>
      <c r="K68" s="110"/>
    </row>
    <row r="69" spans="1:11" ht="25.5" customHeight="1" x14ac:dyDescent="0.25">
      <c r="A69" s="142"/>
      <c r="B69" s="143"/>
      <c r="C69" s="143"/>
      <c r="D69" s="143"/>
      <c r="E69" s="143"/>
      <c r="F69" s="143"/>
      <c r="G69" s="143"/>
      <c r="H69" s="143"/>
      <c r="I69" s="143"/>
      <c r="J69" s="143"/>
      <c r="K69" s="143"/>
    </row>
    <row r="70" spans="1:11" ht="13.5" customHeight="1" x14ac:dyDescent="0.25">
      <c r="A70" s="137" t="s">
        <v>39</v>
      </c>
      <c r="B70" s="137"/>
      <c r="C70" s="137"/>
      <c r="D70" s="116" t="s">
        <v>37</v>
      </c>
      <c r="E70" s="116"/>
      <c r="F70" s="116"/>
      <c r="G70" s="116"/>
      <c r="H70" s="116"/>
      <c r="I70" s="116"/>
      <c r="J70" s="116"/>
      <c r="K70" s="116"/>
    </row>
    <row r="71" spans="1:11" ht="14.25" customHeight="1" x14ac:dyDescent="0.25">
      <c r="A71" s="137"/>
      <c r="B71" s="137"/>
      <c r="C71" s="137"/>
      <c r="D71" s="111" t="s">
        <v>1</v>
      </c>
      <c r="E71" s="112"/>
      <c r="F71" s="20">
        <v>2023</v>
      </c>
      <c r="G71" s="20">
        <v>2024</v>
      </c>
      <c r="H71" s="20">
        <v>2025</v>
      </c>
      <c r="I71" s="20">
        <v>2026</v>
      </c>
      <c r="J71" s="122" t="s">
        <v>92</v>
      </c>
      <c r="K71" s="122"/>
    </row>
    <row r="72" spans="1:11" ht="14.25" customHeight="1" x14ac:dyDescent="0.25">
      <c r="A72" s="137"/>
      <c r="B72" s="137"/>
      <c r="C72" s="137"/>
      <c r="D72" s="109">
        <v>1794675</v>
      </c>
      <c r="E72" s="110"/>
      <c r="F72" s="12">
        <v>598225</v>
      </c>
      <c r="G72" s="12">
        <v>598225</v>
      </c>
      <c r="H72" s="12">
        <v>598225</v>
      </c>
      <c r="I72" s="12">
        <v>0</v>
      </c>
      <c r="J72" s="109">
        <f>SUM(F72:I72)</f>
        <v>1794675</v>
      </c>
      <c r="K72" s="110"/>
    </row>
  </sheetData>
  <mergeCells count="69">
    <mergeCell ref="A15:A52"/>
    <mergeCell ref="A70:C72"/>
    <mergeCell ref="A69:K69"/>
    <mergeCell ref="B64:C64"/>
    <mergeCell ref="B65:C65"/>
    <mergeCell ref="B66:C66"/>
    <mergeCell ref="D64:E64"/>
    <mergeCell ref="D65:E65"/>
    <mergeCell ref="D66:E66"/>
    <mergeCell ref="D67:E67"/>
    <mergeCell ref="D68:E68"/>
    <mergeCell ref="J64:K64"/>
    <mergeCell ref="J65:K65"/>
    <mergeCell ref="J66:K66"/>
    <mergeCell ref="J67:K67"/>
    <mergeCell ref="J68:K68"/>
    <mergeCell ref="B8:K8"/>
    <mergeCell ref="B9:K9"/>
    <mergeCell ref="B10:K10"/>
    <mergeCell ref="A61:A68"/>
    <mergeCell ref="B61:C62"/>
    <mergeCell ref="B67:C67"/>
    <mergeCell ref="B68:C68"/>
    <mergeCell ref="B53:C54"/>
    <mergeCell ref="B55:C55"/>
    <mergeCell ref="B56:C56"/>
    <mergeCell ref="B57:C57"/>
    <mergeCell ref="B58:C58"/>
    <mergeCell ref="A60:K60"/>
    <mergeCell ref="D61:K61"/>
    <mergeCell ref="J62:K62"/>
    <mergeCell ref="D62:E62"/>
    <mergeCell ref="H2:K2"/>
    <mergeCell ref="D15:D16"/>
    <mergeCell ref="J15:J16"/>
    <mergeCell ref="D22:D43"/>
    <mergeCell ref="D49:D51"/>
    <mergeCell ref="E15:E16"/>
    <mergeCell ref="F15:I15"/>
    <mergeCell ref="B11:K11"/>
    <mergeCell ref="B12:K12"/>
    <mergeCell ref="B13:K13"/>
    <mergeCell ref="B14:K14"/>
    <mergeCell ref="B15:B16"/>
    <mergeCell ref="C15:C16"/>
    <mergeCell ref="B7:C7"/>
    <mergeCell ref="E7:K7"/>
    <mergeCell ref="K15:K16"/>
    <mergeCell ref="A53:A59"/>
    <mergeCell ref="F53:K53"/>
    <mergeCell ref="D53:E54"/>
    <mergeCell ref="D55:E55"/>
    <mergeCell ref="J71:K71"/>
    <mergeCell ref="D56:E56"/>
    <mergeCell ref="D57:E57"/>
    <mergeCell ref="D58:E58"/>
    <mergeCell ref="J54:K54"/>
    <mergeCell ref="J55:K55"/>
    <mergeCell ref="J56:K56"/>
    <mergeCell ref="J57:K57"/>
    <mergeCell ref="J58:K58"/>
    <mergeCell ref="J72:K72"/>
    <mergeCell ref="D71:E71"/>
    <mergeCell ref="D72:E72"/>
    <mergeCell ref="D59:E59"/>
    <mergeCell ref="J59:K59"/>
    <mergeCell ref="B63:K63"/>
    <mergeCell ref="D70:K70"/>
    <mergeCell ref="B59:C59"/>
  </mergeCells>
  <printOptions horizontalCentered="1"/>
  <pageMargins left="0.11811023622047245" right="0.11811023622047245" top="0.50312500000000004" bottom="0" header="0" footer="0"/>
  <pageSetup paperSize="9" scale="46" firstPageNumber="3" fitToHeight="10" orientation="landscape" useFirstPageNumber="1" r:id="rId1"/>
  <headerFooter differentOddEven="1">
    <oddHeader>&amp;C&amp;"Times New Roman,обычный"&amp;14
&amp;P</oddHeader>
    <evenHeader>&amp;C&amp;"Times New Roman,обычный"&amp;14
&amp;P</evenHeader>
    <firstHeader xml:space="preserve">&amp;C&amp;"Times New Roman,обычный"&amp;12
</firstHeader>
  </headerFooter>
  <rowBreaks count="1" manualBreakCount="1">
    <brk id="3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view="pageBreakPreview" zoomScale="55" zoomScaleNormal="55" zoomScaleSheetLayoutView="55" zoomScalePageLayoutView="55" workbookViewId="0">
      <selection activeCell="Q3" sqref="Q3"/>
    </sheetView>
  </sheetViews>
  <sheetFormatPr defaultColWidth="9.140625" defaultRowHeight="15" x14ac:dyDescent="0.25"/>
  <cols>
    <col min="1" max="1" width="10.140625" style="1" customWidth="1"/>
    <col min="2" max="2" width="29.85546875" style="1" customWidth="1"/>
    <col min="3" max="3" width="12.85546875" style="1" customWidth="1"/>
    <col min="4" max="4" width="18.85546875" style="38" customWidth="1"/>
    <col min="5" max="5" width="15.85546875" style="1" customWidth="1"/>
    <col min="6" max="6" width="19.7109375" style="1" customWidth="1"/>
    <col min="7" max="7" width="20.7109375" style="1" customWidth="1"/>
    <col min="8" max="9" width="17.42578125" style="39" customWidth="1"/>
    <col min="10" max="10" width="16.42578125" style="39" customWidth="1"/>
    <col min="11" max="11" width="15.28515625" style="39" customWidth="1"/>
    <col min="12" max="12" width="17.28515625" style="1" customWidth="1"/>
    <col min="13" max="17" width="11.42578125" style="1" customWidth="1"/>
    <col min="18" max="16384" width="9.140625" style="1"/>
  </cols>
  <sheetData>
    <row r="1" spans="1:17" x14ac:dyDescent="0.25">
      <c r="I1" s="40"/>
      <c r="J1" s="1"/>
      <c r="K1" s="1"/>
      <c r="L1" s="99"/>
      <c r="M1" s="99"/>
      <c r="P1" s="99"/>
      <c r="Q1" s="99" t="s">
        <v>100</v>
      </c>
    </row>
    <row r="2" spans="1:17" x14ac:dyDescent="0.25">
      <c r="H2" s="41"/>
      <c r="I2" s="40"/>
      <c r="J2" s="123"/>
      <c r="K2" s="123"/>
      <c r="L2" s="123"/>
      <c r="M2" s="123"/>
      <c r="N2" s="123" t="s">
        <v>6</v>
      </c>
      <c r="O2" s="123"/>
      <c r="P2" s="123"/>
      <c r="Q2" s="123"/>
    </row>
    <row r="3" spans="1:17" x14ac:dyDescent="0.25">
      <c r="I3" s="42"/>
      <c r="J3" s="1"/>
      <c r="K3" s="1"/>
      <c r="L3" s="99"/>
      <c r="M3" s="99"/>
      <c r="P3" s="99"/>
      <c r="Q3" s="99" t="s">
        <v>304</v>
      </c>
    </row>
    <row r="4" spans="1:17" x14ac:dyDescent="0.25">
      <c r="I4" s="42"/>
      <c r="J4" s="40"/>
      <c r="K4" s="40"/>
      <c r="L4" s="43"/>
      <c r="M4" s="43"/>
      <c r="N4" s="43"/>
      <c r="P4" s="43"/>
      <c r="Q4" s="99" t="s">
        <v>101</v>
      </c>
    </row>
    <row r="5" spans="1:17" x14ac:dyDescent="0.25">
      <c r="C5" s="44"/>
      <c r="E5" s="45"/>
      <c r="F5" s="45"/>
      <c r="G5" s="45"/>
    </row>
    <row r="6" spans="1:17" ht="15" customHeight="1" x14ac:dyDescent="0.25">
      <c r="A6" s="195" t="s">
        <v>102</v>
      </c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  <c r="P6" s="195"/>
      <c r="Q6" s="195"/>
    </row>
    <row r="7" spans="1:17" x14ac:dyDescent="0.25">
      <c r="A7" s="196"/>
      <c r="B7" s="196"/>
      <c r="C7" s="196"/>
      <c r="D7" s="196"/>
      <c r="E7" s="103"/>
    </row>
    <row r="8" spans="1:17" ht="30.75" customHeight="1" x14ac:dyDescent="0.25">
      <c r="A8" s="170" t="s">
        <v>103</v>
      </c>
      <c r="B8" s="170" t="s">
        <v>104</v>
      </c>
      <c r="C8" s="170" t="s">
        <v>105</v>
      </c>
      <c r="D8" s="170" t="s">
        <v>0</v>
      </c>
      <c r="E8" s="197" t="s">
        <v>106</v>
      </c>
      <c r="F8" s="198"/>
      <c r="G8" s="198"/>
      <c r="H8" s="198"/>
      <c r="I8" s="198"/>
      <c r="J8" s="198"/>
      <c r="K8" s="198"/>
      <c r="L8" s="198"/>
      <c r="M8" s="198"/>
      <c r="N8" s="198"/>
      <c r="O8" s="198"/>
      <c r="P8" s="198"/>
      <c r="Q8" s="199"/>
    </row>
    <row r="9" spans="1:17" ht="30.75" customHeight="1" x14ac:dyDescent="0.25">
      <c r="A9" s="124"/>
      <c r="B9" s="124"/>
      <c r="C9" s="124"/>
      <c r="D9" s="124"/>
      <c r="E9" s="200"/>
      <c r="F9" s="201"/>
      <c r="G9" s="201"/>
      <c r="H9" s="201"/>
      <c r="I9" s="201"/>
      <c r="J9" s="201"/>
      <c r="K9" s="201"/>
      <c r="L9" s="201"/>
      <c r="M9" s="201"/>
      <c r="N9" s="201"/>
      <c r="O9" s="201"/>
      <c r="P9" s="201"/>
      <c r="Q9" s="202"/>
    </row>
    <row r="10" spans="1:17" ht="30.75" customHeight="1" x14ac:dyDescent="0.25">
      <c r="A10" s="125"/>
      <c r="B10" s="125"/>
      <c r="C10" s="125"/>
      <c r="D10" s="125"/>
      <c r="E10" s="98" t="s">
        <v>1</v>
      </c>
      <c r="F10" s="98" t="s">
        <v>107</v>
      </c>
      <c r="G10" s="98" t="s">
        <v>108</v>
      </c>
      <c r="H10" s="46" t="s">
        <v>109</v>
      </c>
      <c r="I10" s="46" t="s">
        <v>110</v>
      </c>
      <c r="J10" s="46" t="s">
        <v>111</v>
      </c>
      <c r="K10" s="46" t="s">
        <v>112</v>
      </c>
      <c r="L10" s="98" t="s">
        <v>113</v>
      </c>
      <c r="M10" s="98" t="s">
        <v>114</v>
      </c>
      <c r="N10" s="98" t="s">
        <v>115</v>
      </c>
      <c r="O10" s="98" t="s">
        <v>116</v>
      </c>
      <c r="P10" s="98" t="s">
        <v>117</v>
      </c>
      <c r="Q10" s="98" t="s">
        <v>118</v>
      </c>
    </row>
    <row r="11" spans="1:17" x14ac:dyDescent="0.25">
      <c r="A11" s="98">
        <v>1</v>
      </c>
      <c r="B11" s="47">
        <v>2</v>
      </c>
      <c r="C11" s="4">
        <v>3</v>
      </c>
      <c r="D11" s="48">
        <v>4.4000000000000004</v>
      </c>
      <c r="E11" s="4">
        <v>5</v>
      </c>
      <c r="F11" s="4">
        <v>6</v>
      </c>
      <c r="G11" s="4">
        <v>7</v>
      </c>
      <c r="H11" s="49">
        <v>8</v>
      </c>
      <c r="I11" s="49">
        <v>9</v>
      </c>
      <c r="J11" s="49">
        <v>10</v>
      </c>
      <c r="K11" s="49">
        <v>11</v>
      </c>
      <c r="L11" s="4">
        <v>12</v>
      </c>
      <c r="M11" s="4">
        <v>13</v>
      </c>
      <c r="N11" s="4">
        <v>14</v>
      </c>
      <c r="O11" s="4">
        <v>15</v>
      </c>
      <c r="P11" s="4">
        <v>16</v>
      </c>
      <c r="Q11" s="4">
        <v>17</v>
      </c>
    </row>
    <row r="12" spans="1:17" s="50" customFormat="1" x14ac:dyDescent="0.25">
      <c r="A12" s="181" t="s">
        <v>119</v>
      </c>
      <c r="B12" s="182"/>
      <c r="C12" s="182"/>
      <c r="D12" s="182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3"/>
    </row>
    <row r="13" spans="1:17" ht="15" customHeight="1" x14ac:dyDescent="0.25">
      <c r="A13" s="187" t="s">
        <v>120</v>
      </c>
      <c r="B13" s="162" t="s">
        <v>121</v>
      </c>
      <c r="C13" s="171" t="s">
        <v>5</v>
      </c>
      <c r="D13" s="3" t="s">
        <v>9</v>
      </c>
      <c r="E13" s="97">
        <f>SUM(E14:E17)</f>
        <v>99514.67</v>
      </c>
      <c r="F13" s="97">
        <f t="shared" ref="F13:P13" si="0">SUM(F14:F17)</f>
        <v>0</v>
      </c>
      <c r="G13" s="97">
        <f t="shared" si="0"/>
        <v>0</v>
      </c>
      <c r="H13" s="97">
        <f t="shared" si="0"/>
        <v>99514.67</v>
      </c>
      <c r="I13" s="97">
        <f t="shared" si="0"/>
        <v>0</v>
      </c>
      <c r="J13" s="97">
        <f t="shared" si="0"/>
        <v>0</v>
      </c>
      <c r="K13" s="97">
        <f t="shared" si="0"/>
        <v>0</v>
      </c>
      <c r="L13" s="97">
        <f t="shared" si="0"/>
        <v>0</v>
      </c>
      <c r="M13" s="97">
        <f t="shared" si="0"/>
        <v>0</v>
      </c>
      <c r="N13" s="97">
        <f t="shared" si="0"/>
        <v>0</v>
      </c>
      <c r="O13" s="97">
        <f t="shared" si="0"/>
        <v>0</v>
      </c>
      <c r="P13" s="97">
        <f t="shared" si="0"/>
        <v>0</v>
      </c>
      <c r="Q13" s="97">
        <f>SUM(Q14:Q17)</f>
        <v>0</v>
      </c>
    </row>
    <row r="14" spans="1:17" ht="30" x14ac:dyDescent="0.25">
      <c r="A14" s="188"/>
      <c r="B14" s="163"/>
      <c r="C14" s="172"/>
      <c r="D14" s="3" t="s">
        <v>2</v>
      </c>
      <c r="E14" s="97">
        <f>SUM(F14:Q14)</f>
        <v>0</v>
      </c>
      <c r="F14" s="97">
        <v>0</v>
      </c>
      <c r="G14" s="97">
        <v>0</v>
      </c>
      <c r="H14" s="51">
        <v>0</v>
      </c>
      <c r="I14" s="51">
        <v>0</v>
      </c>
      <c r="J14" s="51">
        <v>0</v>
      </c>
      <c r="K14" s="51">
        <v>0</v>
      </c>
      <c r="L14" s="97">
        <v>0</v>
      </c>
      <c r="M14" s="97">
        <v>0</v>
      </c>
      <c r="N14" s="97">
        <v>0</v>
      </c>
      <c r="O14" s="97">
        <v>0</v>
      </c>
      <c r="P14" s="97">
        <v>0</v>
      </c>
      <c r="Q14" s="97">
        <v>0</v>
      </c>
    </row>
    <row r="15" spans="1:17" ht="45" x14ac:dyDescent="0.25">
      <c r="A15" s="188"/>
      <c r="B15" s="163"/>
      <c r="C15" s="172"/>
      <c r="D15" s="3" t="s">
        <v>7</v>
      </c>
      <c r="E15" s="101">
        <f>SUM(F15:Q15)</f>
        <v>0</v>
      </c>
      <c r="F15" s="101">
        <v>0</v>
      </c>
      <c r="G15" s="101">
        <v>0</v>
      </c>
      <c r="H15" s="52">
        <v>0</v>
      </c>
      <c r="I15" s="52">
        <v>0</v>
      </c>
      <c r="J15" s="52">
        <v>0</v>
      </c>
      <c r="K15" s="52">
        <v>0</v>
      </c>
      <c r="L15" s="101">
        <v>0</v>
      </c>
      <c r="M15" s="101">
        <v>0</v>
      </c>
      <c r="N15" s="101">
        <v>0</v>
      </c>
      <c r="O15" s="101">
        <v>0</v>
      </c>
      <c r="P15" s="101">
        <v>0</v>
      </c>
      <c r="Q15" s="101">
        <v>0</v>
      </c>
    </row>
    <row r="16" spans="1:17" x14ac:dyDescent="0.25">
      <c r="A16" s="188"/>
      <c r="B16" s="163"/>
      <c r="C16" s="172"/>
      <c r="D16" s="3" t="s">
        <v>3</v>
      </c>
      <c r="E16" s="101">
        <f>SUM(F16:Q16)</f>
        <v>99514.67</v>
      </c>
      <c r="F16" s="101">
        <v>0</v>
      </c>
      <c r="G16" s="101">
        <v>0</v>
      </c>
      <c r="H16" s="52">
        <v>99514.67</v>
      </c>
      <c r="I16" s="52">
        <v>0</v>
      </c>
      <c r="J16" s="52">
        <v>0</v>
      </c>
      <c r="K16" s="52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</row>
    <row r="17" spans="1:17" ht="30" x14ac:dyDescent="0.25">
      <c r="A17" s="189"/>
      <c r="B17" s="164"/>
      <c r="C17" s="173"/>
      <c r="D17" s="3" t="s">
        <v>8</v>
      </c>
      <c r="E17" s="101">
        <f>SUM(F17:Q17)</f>
        <v>0</v>
      </c>
      <c r="F17" s="101">
        <v>0</v>
      </c>
      <c r="G17" s="101">
        <v>0</v>
      </c>
      <c r="H17" s="52">
        <v>0</v>
      </c>
      <c r="I17" s="52">
        <v>0</v>
      </c>
      <c r="J17" s="52">
        <v>0</v>
      </c>
      <c r="K17" s="52">
        <v>0</v>
      </c>
      <c r="L17" s="101">
        <v>0</v>
      </c>
      <c r="M17" s="101">
        <v>0</v>
      </c>
      <c r="N17" s="101">
        <v>0</v>
      </c>
      <c r="O17" s="101">
        <v>0</v>
      </c>
      <c r="P17" s="101">
        <v>0</v>
      </c>
      <c r="Q17" s="101">
        <v>0</v>
      </c>
    </row>
    <row r="18" spans="1:17" ht="15" customHeight="1" x14ac:dyDescent="0.25">
      <c r="A18" s="106" t="s">
        <v>122</v>
      </c>
      <c r="B18" s="118" t="s">
        <v>123</v>
      </c>
      <c r="C18" s="108" t="s">
        <v>4</v>
      </c>
      <c r="D18" s="3" t="s">
        <v>9</v>
      </c>
      <c r="E18" s="97">
        <f>SUM(E19:E22)</f>
        <v>50360892.689999998</v>
      </c>
      <c r="F18" s="97">
        <f t="shared" ref="F18:Q18" si="1">SUM(F19:F22)</f>
        <v>5727009.1000000006</v>
      </c>
      <c r="G18" s="97">
        <f t="shared" si="1"/>
        <v>4263278.97</v>
      </c>
      <c r="H18" s="97">
        <f t="shared" si="1"/>
        <v>7278552.2400000002</v>
      </c>
      <c r="I18" s="97">
        <f t="shared" si="1"/>
        <v>6282323.3799999999</v>
      </c>
      <c r="J18" s="97">
        <f t="shared" si="1"/>
        <v>9809729</v>
      </c>
      <c r="K18" s="97">
        <f t="shared" si="1"/>
        <v>9000000</v>
      </c>
      <c r="L18" s="97">
        <f t="shared" si="1"/>
        <v>8000000</v>
      </c>
      <c r="M18" s="97">
        <f t="shared" si="1"/>
        <v>0</v>
      </c>
      <c r="N18" s="97">
        <f t="shared" si="1"/>
        <v>0</v>
      </c>
      <c r="O18" s="97">
        <f t="shared" si="1"/>
        <v>0</v>
      </c>
      <c r="P18" s="97">
        <f t="shared" si="1"/>
        <v>0</v>
      </c>
      <c r="Q18" s="97">
        <f t="shared" si="1"/>
        <v>0</v>
      </c>
    </row>
    <row r="19" spans="1:17" ht="30" x14ac:dyDescent="0.25">
      <c r="A19" s="107"/>
      <c r="B19" s="119"/>
      <c r="C19" s="104"/>
      <c r="D19" s="3" t="s">
        <v>2</v>
      </c>
      <c r="E19" s="97">
        <f>SUM(F19:Q19)</f>
        <v>0</v>
      </c>
      <c r="F19" s="97">
        <v>0</v>
      </c>
      <c r="G19" s="97">
        <v>0</v>
      </c>
      <c r="H19" s="51">
        <v>0</v>
      </c>
      <c r="I19" s="51">
        <v>0</v>
      </c>
      <c r="J19" s="51">
        <v>0</v>
      </c>
      <c r="K19" s="51">
        <v>0</v>
      </c>
      <c r="L19" s="97">
        <v>0</v>
      </c>
      <c r="M19" s="97">
        <v>0</v>
      </c>
      <c r="N19" s="97">
        <v>0</v>
      </c>
      <c r="O19" s="97">
        <v>0</v>
      </c>
      <c r="P19" s="97">
        <v>0</v>
      </c>
      <c r="Q19" s="97">
        <v>0</v>
      </c>
    </row>
    <row r="20" spans="1:17" s="2" customFormat="1" ht="45" x14ac:dyDescent="0.25">
      <c r="A20" s="105"/>
      <c r="B20" s="119"/>
      <c r="C20" s="104"/>
      <c r="D20" s="3" t="s">
        <v>7</v>
      </c>
      <c r="E20" s="101">
        <f>SUM(F20:Q20)</f>
        <v>0</v>
      </c>
      <c r="F20" s="101">
        <v>0</v>
      </c>
      <c r="G20" s="101">
        <v>0</v>
      </c>
      <c r="H20" s="52">
        <v>0</v>
      </c>
      <c r="I20" s="52">
        <v>0</v>
      </c>
      <c r="J20" s="52">
        <v>0</v>
      </c>
      <c r="K20" s="52">
        <v>0</v>
      </c>
      <c r="L20" s="101">
        <v>0</v>
      </c>
      <c r="M20" s="101">
        <v>0</v>
      </c>
      <c r="N20" s="101">
        <v>0</v>
      </c>
      <c r="O20" s="101">
        <v>0</v>
      </c>
      <c r="P20" s="101">
        <v>0</v>
      </c>
      <c r="Q20" s="101">
        <v>0</v>
      </c>
    </row>
    <row r="21" spans="1:17" x14ac:dyDescent="0.25">
      <c r="A21" s="107"/>
      <c r="B21" s="119"/>
      <c r="C21" s="104"/>
      <c r="D21" s="3" t="s">
        <v>3</v>
      </c>
      <c r="E21" s="101">
        <f>SUM(F21:Q21)</f>
        <v>50360892.689999998</v>
      </c>
      <c r="F21" s="101">
        <f>2629433.08+2629433.08+468142.94</f>
        <v>5727009.1000000006</v>
      </c>
      <c r="G21" s="101">
        <f>2197018.92+2066260.05</f>
        <v>4263278.97</v>
      </c>
      <c r="H21" s="52">
        <v>7278552.2400000002</v>
      </c>
      <c r="I21" s="52">
        <v>6282323.3799999999</v>
      </c>
      <c r="J21" s="52">
        <v>9809729</v>
      </c>
      <c r="K21" s="52">
        <v>9000000</v>
      </c>
      <c r="L21" s="101">
        <v>8000000</v>
      </c>
      <c r="M21" s="101">
        <v>0</v>
      </c>
      <c r="N21" s="101">
        <v>0</v>
      </c>
      <c r="O21" s="101">
        <v>0</v>
      </c>
      <c r="P21" s="101">
        <v>0</v>
      </c>
      <c r="Q21" s="101">
        <v>0</v>
      </c>
    </row>
    <row r="22" spans="1:17" s="2" customFormat="1" ht="30" x14ac:dyDescent="0.25">
      <c r="A22" s="105"/>
      <c r="B22" s="120"/>
      <c r="C22" s="104"/>
      <c r="D22" s="3" t="s">
        <v>8</v>
      </c>
      <c r="E22" s="101">
        <f>SUM(F22:Q22)</f>
        <v>0</v>
      </c>
      <c r="F22" s="101">
        <v>0</v>
      </c>
      <c r="G22" s="101">
        <v>0</v>
      </c>
      <c r="H22" s="52">
        <v>0</v>
      </c>
      <c r="I22" s="52">
        <v>0</v>
      </c>
      <c r="J22" s="52">
        <v>0</v>
      </c>
      <c r="K22" s="52">
        <v>0</v>
      </c>
      <c r="L22" s="101">
        <v>0</v>
      </c>
      <c r="M22" s="101">
        <v>0</v>
      </c>
      <c r="N22" s="101">
        <v>0</v>
      </c>
      <c r="O22" s="101">
        <v>0</v>
      </c>
      <c r="P22" s="101">
        <v>0</v>
      </c>
      <c r="Q22" s="101">
        <v>0</v>
      </c>
    </row>
    <row r="23" spans="1:17" ht="15" customHeight="1" x14ac:dyDescent="0.25">
      <c r="A23" s="187" t="s">
        <v>124</v>
      </c>
      <c r="B23" s="118" t="s">
        <v>125</v>
      </c>
      <c r="C23" s="190" t="s">
        <v>5</v>
      </c>
      <c r="D23" s="3" t="s">
        <v>9</v>
      </c>
      <c r="E23" s="97">
        <f>SUM(E24:E27)</f>
        <v>1135123.1000000001</v>
      </c>
      <c r="F23" s="97">
        <f t="shared" ref="F23:Q23" si="2">SUM(F24:F27)</f>
        <v>1135123.1000000001</v>
      </c>
      <c r="G23" s="97">
        <f t="shared" si="2"/>
        <v>0</v>
      </c>
      <c r="H23" s="97">
        <f t="shared" si="2"/>
        <v>0</v>
      </c>
      <c r="I23" s="97">
        <f t="shared" si="2"/>
        <v>0</v>
      </c>
      <c r="J23" s="97">
        <f t="shared" si="2"/>
        <v>0</v>
      </c>
      <c r="K23" s="97">
        <f t="shared" si="2"/>
        <v>0</v>
      </c>
      <c r="L23" s="97">
        <f t="shared" si="2"/>
        <v>0</v>
      </c>
      <c r="M23" s="97">
        <f t="shared" si="2"/>
        <v>0</v>
      </c>
      <c r="N23" s="97">
        <f t="shared" si="2"/>
        <v>0</v>
      </c>
      <c r="O23" s="97">
        <f t="shared" si="2"/>
        <v>0</v>
      </c>
      <c r="P23" s="97">
        <f t="shared" si="2"/>
        <v>0</v>
      </c>
      <c r="Q23" s="97">
        <f t="shared" si="2"/>
        <v>0</v>
      </c>
    </row>
    <row r="24" spans="1:17" ht="30" x14ac:dyDescent="0.25">
      <c r="A24" s="188"/>
      <c r="B24" s="119"/>
      <c r="C24" s="191"/>
      <c r="D24" s="3" t="s">
        <v>2</v>
      </c>
      <c r="E24" s="97">
        <f>SUM(F24:Q24)</f>
        <v>0</v>
      </c>
      <c r="F24" s="97">
        <v>0</v>
      </c>
      <c r="G24" s="97">
        <v>0</v>
      </c>
      <c r="H24" s="51">
        <v>0</v>
      </c>
      <c r="I24" s="51">
        <v>0</v>
      </c>
      <c r="J24" s="51">
        <v>0</v>
      </c>
      <c r="K24" s="51">
        <v>0</v>
      </c>
      <c r="L24" s="97">
        <v>0</v>
      </c>
      <c r="M24" s="97">
        <v>0</v>
      </c>
      <c r="N24" s="97">
        <v>0</v>
      </c>
      <c r="O24" s="97">
        <v>0</v>
      </c>
      <c r="P24" s="97">
        <v>0</v>
      </c>
      <c r="Q24" s="97">
        <v>0</v>
      </c>
    </row>
    <row r="25" spans="1:17" ht="45" x14ac:dyDescent="0.25">
      <c r="A25" s="188"/>
      <c r="B25" s="119"/>
      <c r="C25" s="191"/>
      <c r="D25" s="3" t="s">
        <v>7</v>
      </c>
      <c r="E25" s="101">
        <f>SUM(F25:Q25)</f>
        <v>0</v>
      </c>
      <c r="F25" s="101">
        <v>0</v>
      </c>
      <c r="G25" s="101">
        <v>0</v>
      </c>
      <c r="H25" s="52">
        <v>0</v>
      </c>
      <c r="I25" s="52">
        <v>0</v>
      </c>
      <c r="J25" s="52">
        <v>0</v>
      </c>
      <c r="K25" s="52">
        <v>0</v>
      </c>
      <c r="L25" s="101">
        <v>0</v>
      </c>
      <c r="M25" s="101">
        <v>0</v>
      </c>
      <c r="N25" s="101">
        <v>0</v>
      </c>
      <c r="O25" s="101">
        <v>0</v>
      </c>
      <c r="P25" s="101">
        <v>0</v>
      </c>
      <c r="Q25" s="101">
        <v>0</v>
      </c>
    </row>
    <row r="26" spans="1:17" x14ac:dyDescent="0.25">
      <c r="A26" s="188"/>
      <c r="B26" s="119"/>
      <c r="C26" s="172"/>
      <c r="D26" s="3" t="s">
        <v>3</v>
      </c>
      <c r="E26" s="101">
        <f>SUM(F26:Q26)</f>
        <v>1135123.1000000001</v>
      </c>
      <c r="F26" s="101">
        <f>1100123.1+35000</f>
        <v>1135123.1000000001</v>
      </c>
      <c r="G26" s="101">
        <v>0</v>
      </c>
      <c r="H26" s="52">
        <v>0</v>
      </c>
      <c r="I26" s="52">
        <v>0</v>
      </c>
      <c r="J26" s="52">
        <v>0</v>
      </c>
      <c r="K26" s="52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97"/>
    </row>
    <row r="27" spans="1:17" ht="30" x14ac:dyDescent="0.25">
      <c r="A27" s="189"/>
      <c r="B27" s="120"/>
      <c r="C27" s="173"/>
      <c r="D27" s="3" t="s">
        <v>8</v>
      </c>
      <c r="E27" s="101">
        <f>SUM(F27:Q27)</f>
        <v>0</v>
      </c>
      <c r="F27" s="101">
        <v>0</v>
      </c>
      <c r="G27" s="101">
        <v>0</v>
      </c>
      <c r="H27" s="52">
        <v>0</v>
      </c>
      <c r="I27" s="52">
        <v>0</v>
      </c>
      <c r="J27" s="52">
        <v>0</v>
      </c>
      <c r="K27" s="52">
        <v>0</v>
      </c>
      <c r="L27" s="101">
        <v>0</v>
      </c>
      <c r="M27" s="101">
        <v>0</v>
      </c>
      <c r="N27" s="101">
        <v>0</v>
      </c>
      <c r="O27" s="101">
        <v>0</v>
      </c>
      <c r="P27" s="101">
        <v>0</v>
      </c>
      <c r="Q27" s="101">
        <v>0</v>
      </c>
    </row>
    <row r="28" spans="1:17" ht="15" customHeight="1" x14ac:dyDescent="0.25">
      <c r="A28" s="102"/>
      <c r="B28" s="118" t="s">
        <v>126</v>
      </c>
      <c r="C28" s="171" t="s">
        <v>4</v>
      </c>
      <c r="D28" s="3" t="s">
        <v>9</v>
      </c>
      <c r="E28" s="97">
        <f>SUM(E30:E32)</f>
        <v>244000</v>
      </c>
      <c r="F28" s="97">
        <v>0</v>
      </c>
      <c r="G28" s="97">
        <v>0</v>
      </c>
      <c r="H28" s="51">
        <f>SUM(H30:H32)</f>
        <v>0</v>
      </c>
      <c r="I28" s="51">
        <f t="shared" ref="I28:Q28" si="3">SUM(I30:I32)</f>
        <v>0</v>
      </c>
      <c r="J28" s="51">
        <f t="shared" si="3"/>
        <v>244000</v>
      </c>
      <c r="K28" s="51">
        <f t="shared" si="3"/>
        <v>0</v>
      </c>
      <c r="L28" s="97">
        <f t="shared" si="3"/>
        <v>0</v>
      </c>
      <c r="M28" s="97">
        <f t="shared" si="3"/>
        <v>0</v>
      </c>
      <c r="N28" s="97">
        <f t="shared" si="3"/>
        <v>0</v>
      </c>
      <c r="O28" s="97">
        <f t="shared" si="3"/>
        <v>0</v>
      </c>
      <c r="P28" s="97">
        <f t="shared" si="3"/>
        <v>0</v>
      </c>
      <c r="Q28" s="97">
        <f t="shared" si="3"/>
        <v>0</v>
      </c>
    </row>
    <row r="29" spans="1:17" ht="30" x14ac:dyDescent="0.25">
      <c r="A29" s="102"/>
      <c r="B29" s="119"/>
      <c r="C29" s="172"/>
      <c r="D29" s="3" t="s">
        <v>2</v>
      </c>
      <c r="E29" s="97">
        <f>SUM(F29:Q29)</f>
        <v>0</v>
      </c>
      <c r="F29" s="97">
        <v>0</v>
      </c>
      <c r="G29" s="97">
        <v>0</v>
      </c>
      <c r="H29" s="51">
        <v>0</v>
      </c>
      <c r="I29" s="51">
        <v>0</v>
      </c>
      <c r="J29" s="51">
        <v>0</v>
      </c>
      <c r="K29" s="51">
        <v>0</v>
      </c>
      <c r="L29" s="97">
        <v>0</v>
      </c>
      <c r="M29" s="97">
        <v>0</v>
      </c>
      <c r="N29" s="97">
        <v>0</v>
      </c>
      <c r="O29" s="97">
        <v>0</v>
      </c>
      <c r="P29" s="97">
        <v>0</v>
      </c>
      <c r="Q29" s="97">
        <v>0</v>
      </c>
    </row>
    <row r="30" spans="1:17" ht="45" x14ac:dyDescent="0.25">
      <c r="A30" s="102" t="s">
        <v>127</v>
      </c>
      <c r="B30" s="119"/>
      <c r="C30" s="172"/>
      <c r="D30" s="3" t="s">
        <v>7</v>
      </c>
      <c r="E30" s="101">
        <f>SUM(F30:Q30)</f>
        <v>0</v>
      </c>
      <c r="F30" s="101">
        <v>0</v>
      </c>
      <c r="G30" s="101">
        <v>0</v>
      </c>
      <c r="H30" s="52">
        <v>0</v>
      </c>
      <c r="I30" s="52">
        <v>0</v>
      </c>
      <c r="J30" s="52">
        <v>0</v>
      </c>
      <c r="K30" s="52">
        <v>0</v>
      </c>
      <c r="L30" s="101">
        <v>0</v>
      </c>
      <c r="M30" s="101">
        <v>0</v>
      </c>
      <c r="N30" s="101">
        <v>0</v>
      </c>
      <c r="O30" s="101">
        <v>0</v>
      </c>
      <c r="P30" s="101">
        <v>0</v>
      </c>
      <c r="Q30" s="101">
        <v>0</v>
      </c>
    </row>
    <row r="31" spans="1:17" x14ac:dyDescent="0.25">
      <c r="A31" s="102"/>
      <c r="B31" s="119"/>
      <c r="C31" s="172"/>
      <c r="D31" s="3" t="s">
        <v>3</v>
      </c>
      <c r="E31" s="101">
        <f>SUM(F31:Q31)</f>
        <v>244000</v>
      </c>
      <c r="F31" s="101">
        <v>0</v>
      </c>
      <c r="G31" s="101">
        <v>0</v>
      </c>
      <c r="H31" s="52">
        <v>0</v>
      </c>
      <c r="I31" s="101">
        <v>0</v>
      </c>
      <c r="J31" s="52">
        <v>244000</v>
      </c>
      <c r="K31" s="52">
        <v>0</v>
      </c>
      <c r="L31" s="101">
        <v>0</v>
      </c>
      <c r="M31" s="101">
        <v>0</v>
      </c>
      <c r="N31" s="101">
        <v>0</v>
      </c>
      <c r="O31" s="101">
        <v>0</v>
      </c>
      <c r="P31" s="101">
        <v>0</v>
      </c>
      <c r="Q31" s="101">
        <v>0</v>
      </c>
    </row>
    <row r="32" spans="1:17" ht="30" x14ac:dyDescent="0.25">
      <c r="A32" s="102"/>
      <c r="B32" s="120"/>
      <c r="C32" s="173"/>
      <c r="D32" s="3" t="s">
        <v>8</v>
      </c>
      <c r="E32" s="101">
        <f>SUM(F32:Q32)</f>
        <v>0</v>
      </c>
      <c r="F32" s="101">
        <f>SUM(G32:Q32)</f>
        <v>0</v>
      </c>
      <c r="G32" s="101">
        <f>SUM(H32:Q32)</f>
        <v>0</v>
      </c>
      <c r="H32" s="52">
        <f>SUM(I32:Q32)</f>
        <v>0</v>
      </c>
      <c r="I32" s="52">
        <f>SUM(J32:Q32)</f>
        <v>0</v>
      </c>
      <c r="J32" s="52">
        <f>SUM(K32:Q32)</f>
        <v>0</v>
      </c>
      <c r="K32" s="52">
        <f>SUM(L32:Q32)</f>
        <v>0</v>
      </c>
      <c r="L32" s="101">
        <f>SUM(M32:Q32)</f>
        <v>0</v>
      </c>
      <c r="M32" s="101">
        <f>SUM(N32:Q32)</f>
        <v>0</v>
      </c>
      <c r="N32" s="101">
        <f>SUM(O32:Q32)</f>
        <v>0</v>
      </c>
      <c r="O32" s="101">
        <f>SUM(P32:Q32)</f>
        <v>0</v>
      </c>
      <c r="P32" s="101">
        <f>SUM(Q32:Q32)</f>
        <v>0</v>
      </c>
      <c r="Q32" s="101">
        <v>0</v>
      </c>
    </row>
    <row r="33" spans="1:17" ht="15.75" customHeight="1" x14ac:dyDescent="0.25">
      <c r="A33" s="187"/>
      <c r="B33" s="170" t="s">
        <v>128</v>
      </c>
      <c r="C33" s="192"/>
      <c r="D33" s="3" t="s">
        <v>9</v>
      </c>
      <c r="E33" s="101">
        <f>E35+E36+E37+E34</f>
        <v>51839530.460000001</v>
      </c>
      <c r="F33" s="101">
        <f>F35+F36+F37+F34</f>
        <v>6862132.2000000011</v>
      </c>
      <c r="G33" s="101">
        <f t="shared" ref="G33:Q33" si="4">G35+G36+G37+G34</f>
        <v>4263278.97</v>
      </c>
      <c r="H33" s="101">
        <f t="shared" si="4"/>
        <v>7378066.9100000001</v>
      </c>
      <c r="I33" s="101">
        <f t="shared" si="4"/>
        <v>6282323.3799999999</v>
      </c>
      <c r="J33" s="101">
        <f t="shared" si="4"/>
        <v>10053729</v>
      </c>
      <c r="K33" s="101">
        <f t="shared" si="4"/>
        <v>9000000</v>
      </c>
      <c r="L33" s="101">
        <f>L35+L36+L37+L34</f>
        <v>8000000</v>
      </c>
      <c r="M33" s="101">
        <f t="shared" si="4"/>
        <v>0</v>
      </c>
      <c r="N33" s="101">
        <f t="shared" si="4"/>
        <v>0</v>
      </c>
      <c r="O33" s="101">
        <f t="shared" si="4"/>
        <v>0</v>
      </c>
      <c r="P33" s="101">
        <f t="shared" si="4"/>
        <v>0</v>
      </c>
      <c r="Q33" s="101">
        <f t="shared" si="4"/>
        <v>0</v>
      </c>
    </row>
    <row r="34" spans="1:17" ht="29.25" customHeight="1" x14ac:dyDescent="0.25">
      <c r="A34" s="188"/>
      <c r="B34" s="124"/>
      <c r="C34" s="193"/>
      <c r="D34" s="3" t="s">
        <v>2</v>
      </c>
      <c r="E34" s="97">
        <f>SUM(F34:Q34)</f>
        <v>0</v>
      </c>
      <c r="F34" s="97">
        <f>F14+F19+F24+F29</f>
        <v>0</v>
      </c>
      <c r="G34" s="97">
        <f t="shared" ref="G34:Q34" si="5">G14+G19+G24+G29</f>
        <v>0</v>
      </c>
      <c r="H34" s="97">
        <f t="shared" si="5"/>
        <v>0</v>
      </c>
      <c r="I34" s="97">
        <f t="shared" si="5"/>
        <v>0</v>
      </c>
      <c r="J34" s="97">
        <f t="shared" si="5"/>
        <v>0</v>
      </c>
      <c r="K34" s="97">
        <f t="shared" si="5"/>
        <v>0</v>
      </c>
      <c r="L34" s="97">
        <f t="shared" si="5"/>
        <v>0</v>
      </c>
      <c r="M34" s="97">
        <f t="shared" si="5"/>
        <v>0</v>
      </c>
      <c r="N34" s="97">
        <f t="shared" si="5"/>
        <v>0</v>
      </c>
      <c r="O34" s="97">
        <f t="shared" si="5"/>
        <v>0</v>
      </c>
      <c r="P34" s="97">
        <f t="shared" si="5"/>
        <v>0</v>
      </c>
      <c r="Q34" s="97">
        <f t="shared" si="5"/>
        <v>0</v>
      </c>
    </row>
    <row r="35" spans="1:17" ht="48" customHeight="1" x14ac:dyDescent="0.25">
      <c r="A35" s="188"/>
      <c r="B35" s="124"/>
      <c r="C35" s="193"/>
      <c r="D35" s="3" t="s">
        <v>7</v>
      </c>
      <c r="E35" s="101">
        <f>F35+G35+H35+I35+J35+K35+L35+Q35</f>
        <v>0</v>
      </c>
      <c r="F35" s="97">
        <f t="shared" ref="F35:Q37" si="6">F15+F20+F25+F30</f>
        <v>0</v>
      </c>
      <c r="G35" s="97">
        <f t="shared" si="6"/>
        <v>0</v>
      </c>
      <c r="H35" s="97">
        <f t="shared" si="6"/>
        <v>0</v>
      </c>
      <c r="I35" s="97">
        <f t="shared" si="6"/>
        <v>0</v>
      </c>
      <c r="J35" s="97">
        <f t="shared" si="6"/>
        <v>0</v>
      </c>
      <c r="K35" s="97">
        <f t="shared" si="6"/>
        <v>0</v>
      </c>
      <c r="L35" s="97">
        <f t="shared" si="6"/>
        <v>0</v>
      </c>
      <c r="M35" s="97">
        <f t="shared" si="6"/>
        <v>0</v>
      </c>
      <c r="N35" s="97">
        <f t="shared" si="6"/>
        <v>0</v>
      </c>
      <c r="O35" s="97">
        <f t="shared" si="6"/>
        <v>0</v>
      </c>
      <c r="P35" s="97">
        <f t="shared" si="6"/>
        <v>0</v>
      </c>
      <c r="Q35" s="97">
        <f t="shared" si="6"/>
        <v>0</v>
      </c>
    </row>
    <row r="36" spans="1:17" s="2" customFormat="1" ht="15.75" customHeight="1" x14ac:dyDescent="0.25">
      <c r="A36" s="188"/>
      <c r="B36" s="124"/>
      <c r="C36" s="193"/>
      <c r="D36" s="3" t="s">
        <v>3</v>
      </c>
      <c r="E36" s="101">
        <f>F36+G36+H36+I36+J36+K36+L36+Q36</f>
        <v>51839530.460000001</v>
      </c>
      <c r="F36" s="97">
        <f t="shared" si="6"/>
        <v>6862132.2000000011</v>
      </c>
      <c r="G36" s="97">
        <f t="shared" si="6"/>
        <v>4263278.97</v>
      </c>
      <c r="H36" s="97">
        <f t="shared" si="6"/>
        <v>7378066.9100000001</v>
      </c>
      <c r="I36" s="97">
        <f t="shared" si="6"/>
        <v>6282323.3799999999</v>
      </c>
      <c r="J36" s="97">
        <f t="shared" si="6"/>
        <v>10053729</v>
      </c>
      <c r="K36" s="97">
        <f t="shared" si="6"/>
        <v>9000000</v>
      </c>
      <c r="L36" s="97">
        <f>L16+L21+L26+L31</f>
        <v>8000000</v>
      </c>
      <c r="M36" s="97">
        <f t="shared" si="6"/>
        <v>0</v>
      </c>
      <c r="N36" s="97">
        <f t="shared" si="6"/>
        <v>0</v>
      </c>
      <c r="O36" s="97">
        <f t="shared" si="6"/>
        <v>0</v>
      </c>
      <c r="P36" s="97">
        <f t="shared" si="6"/>
        <v>0</v>
      </c>
      <c r="Q36" s="97">
        <f t="shared" si="6"/>
        <v>0</v>
      </c>
    </row>
    <row r="37" spans="1:17" ht="30.75" customHeight="1" x14ac:dyDescent="0.25">
      <c r="A37" s="189"/>
      <c r="B37" s="125"/>
      <c r="C37" s="194"/>
      <c r="D37" s="3" t="s">
        <v>8</v>
      </c>
      <c r="E37" s="101">
        <f>F37+G37+H37+I37+J37+K37+L37+Q37</f>
        <v>0</v>
      </c>
      <c r="F37" s="97">
        <f t="shared" si="6"/>
        <v>0</v>
      </c>
      <c r="G37" s="97">
        <f t="shared" si="6"/>
        <v>0</v>
      </c>
      <c r="H37" s="97">
        <f t="shared" si="6"/>
        <v>0</v>
      </c>
      <c r="I37" s="97">
        <f t="shared" si="6"/>
        <v>0</v>
      </c>
      <c r="J37" s="97">
        <f t="shared" si="6"/>
        <v>0</v>
      </c>
      <c r="K37" s="97">
        <f t="shared" si="6"/>
        <v>0</v>
      </c>
      <c r="L37" s="97">
        <f t="shared" si="6"/>
        <v>0</v>
      </c>
      <c r="M37" s="97">
        <f t="shared" si="6"/>
        <v>0</v>
      </c>
      <c r="N37" s="97">
        <f t="shared" si="6"/>
        <v>0</v>
      </c>
      <c r="O37" s="97">
        <f t="shared" si="6"/>
        <v>0</v>
      </c>
      <c r="P37" s="97">
        <f t="shared" si="6"/>
        <v>0</v>
      </c>
      <c r="Q37" s="97">
        <f t="shared" si="6"/>
        <v>0</v>
      </c>
    </row>
    <row r="38" spans="1:17" ht="16.5" customHeight="1" x14ac:dyDescent="0.25">
      <c r="A38" s="182" t="s">
        <v>129</v>
      </c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3"/>
    </row>
    <row r="39" spans="1:17" ht="15.75" customHeight="1" x14ac:dyDescent="0.25">
      <c r="A39" s="167" t="s">
        <v>130</v>
      </c>
      <c r="B39" s="178" t="s">
        <v>131</v>
      </c>
      <c r="C39" s="171" t="s">
        <v>4</v>
      </c>
      <c r="D39" s="3" t="s">
        <v>9</v>
      </c>
      <c r="E39" s="97">
        <f>SUM(E40:E43)</f>
        <v>166635.01</v>
      </c>
      <c r="F39" s="97">
        <f t="shared" ref="F39:Q39" si="7">SUM(F40:F43)</f>
        <v>166635.01</v>
      </c>
      <c r="G39" s="97">
        <f t="shared" si="7"/>
        <v>0</v>
      </c>
      <c r="H39" s="97">
        <f t="shared" si="7"/>
        <v>0</v>
      </c>
      <c r="I39" s="97">
        <f t="shared" si="7"/>
        <v>0</v>
      </c>
      <c r="J39" s="97">
        <f t="shared" si="7"/>
        <v>0</v>
      </c>
      <c r="K39" s="97">
        <f t="shared" si="7"/>
        <v>0</v>
      </c>
      <c r="L39" s="97">
        <f t="shared" si="7"/>
        <v>0</v>
      </c>
      <c r="M39" s="97">
        <f t="shared" si="7"/>
        <v>0</v>
      </c>
      <c r="N39" s="97">
        <f t="shared" si="7"/>
        <v>0</v>
      </c>
      <c r="O39" s="97">
        <f t="shared" si="7"/>
        <v>0</v>
      </c>
      <c r="P39" s="97">
        <f t="shared" si="7"/>
        <v>0</v>
      </c>
      <c r="Q39" s="97">
        <f t="shared" si="7"/>
        <v>0</v>
      </c>
    </row>
    <row r="40" spans="1:17" ht="30" customHeight="1" x14ac:dyDescent="0.25">
      <c r="A40" s="168"/>
      <c r="B40" s="179"/>
      <c r="C40" s="172"/>
      <c r="D40" s="3" t="s">
        <v>2</v>
      </c>
      <c r="E40" s="97">
        <f>SUM(F40:Q40)</f>
        <v>0</v>
      </c>
      <c r="F40" s="97">
        <v>0</v>
      </c>
      <c r="G40" s="97">
        <v>0</v>
      </c>
      <c r="H40" s="51">
        <v>0</v>
      </c>
      <c r="I40" s="51">
        <v>0</v>
      </c>
      <c r="J40" s="51">
        <v>0</v>
      </c>
      <c r="K40" s="51">
        <v>0</v>
      </c>
      <c r="L40" s="97">
        <v>0</v>
      </c>
      <c r="M40" s="97">
        <v>0</v>
      </c>
      <c r="N40" s="97">
        <v>0</v>
      </c>
      <c r="O40" s="97">
        <v>0</v>
      </c>
      <c r="P40" s="97">
        <v>0</v>
      </c>
      <c r="Q40" s="97">
        <v>0</v>
      </c>
    </row>
    <row r="41" spans="1:17" ht="51" customHeight="1" x14ac:dyDescent="0.25">
      <c r="A41" s="168"/>
      <c r="B41" s="179"/>
      <c r="C41" s="172"/>
      <c r="D41" s="3" t="s">
        <v>7</v>
      </c>
      <c r="E41" s="101">
        <f>SUM(F41:Q41)</f>
        <v>0</v>
      </c>
      <c r="F41" s="101">
        <v>0</v>
      </c>
      <c r="G41" s="101">
        <v>0</v>
      </c>
      <c r="H41" s="52">
        <v>0</v>
      </c>
      <c r="I41" s="52">
        <v>0</v>
      </c>
      <c r="J41" s="52">
        <v>0</v>
      </c>
      <c r="K41" s="52">
        <v>0</v>
      </c>
      <c r="L41" s="101">
        <v>0</v>
      </c>
      <c r="M41" s="101">
        <v>0</v>
      </c>
      <c r="N41" s="101">
        <v>0</v>
      </c>
      <c r="O41" s="101">
        <v>0</v>
      </c>
      <c r="P41" s="101">
        <v>0</v>
      </c>
      <c r="Q41" s="101">
        <v>0</v>
      </c>
    </row>
    <row r="42" spans="1:17" ht="15.75" customHeight="1" x14ac:dyDescent="0.25">
      <c r="A42" s="168"/>
      <c r="B42" s="179"/>
      <c r="C42" s="172"/>
      <c r="D42" s="3" t="s">
        <v>3</v>
      </c>
      <c r="E42" s="101">
        <f>SUM(F42:Q42)</f>
        <v>166635.01</v>
      </c>
      <c r="F42" s="101">
        <v>166635.01</v>
      </c>
      <c r="G42" s="101">
        <v>0</v>
      </c>
      <c r="H42" s="52">
        <v>0</v>
      </c>
      <c r="I42" s="52">
        <v>0</v>
      </c>
      <c r="J42" s="52">
        <v>0</v>
      </c>
      <c r="K42" s="52">
        <v>0</v>
      </c>
      <c r="L42" s="101">
        <v>0</v>
      </c>
      <c r="M42" s="101">
        <v>0</v>
      </c>
      <c r="N42" s="101">
        <v>0</v>
      </c>
      <c r="O42" s="101">
        <v>0</v>
      </c>
      <c r="P42" s="101">
        <v>0</v>
      </c>
      <c r="Q42" s="101">
        <v>0</v>
      </c>
    </row>
    <row r="43" spans="1:17" ht="30.75" customHeight="1" x14ac:dyDescent="0.25">
      <c r="A43" s="169"/>
      <c r="B43" s="180"/>
      <c r="C43" s="173"/>
      <c r="D43" s="3" t="s">
        <v>8</v>
      </c>
      <c r="E43" s="101">
        <f>SUM(F43:Q43)</f>
        <v>0</v>
      </c>
      <c r="F43" s="101">
        <v>0</v>
      </c>
      <c r="G43" s="101">
        <v>0</v>
      </c>
      <c r="H43" s="52">
        <v>0</v>
      </c>
      <c r="I43" s="52">
        <v>0</v>
      </c>
      <c r="J43" s="52">
        <v>0</v>
      </c>
      <c r="K43" s="52">
        <v>0</v>
      </c>
      <c r="L43" s="101">
        <v>0</v>
      </c>
      <c r="M43" s="101">
        <v>0</v>
      </c>
      <c r="N43" s="101">
        <v>0</v>
      </c>
      <c r="O43" s="101">
        <v>0</v>
      </c>
      <c r="P43" s="101">
        <v>0</v>
      </c>
      <c r="Q43" s="101">
        <v>0</v>
      </c>
    </row>
    <row r="44" spans="1:17" ht="15.75" customHeight="1" x14ac:dyDescent="0.25">
      <c r="A44" s="167"/>
      <c r="B44" s="170" t="s">
        <v>132</v>
      </c>
      <c r="C44" s="171"/>
      <c r="D44" s="3" t="s">
        <v>9</v>
      </c>
      <c r="E44" s="97">
        <f>SUM(E45:E48)</f>
        <v>166635.01</v>
      </c>
      <c r="F44" s="97">
        <f t="shared" ref="F44:Q44" si="8">SUM(F45:F48)</f>
        <v>166635.01</v>
      </c>
      <c r="G44" s="97">
        <f t="shared" si="8"/>
        <v>0</v>
      </c>
      <c r="H44" s="97">
        <f t="shared" si="8"/>
        <v>0</v>
      </c>
      <c r="I44" s="97">
        <f t="shared" si="8"/>
        <v>0</v>
      </c>
      <c r="J44" s="97">
        <f t="shared" si="8"/>
        <v>0</v>
      </c>
      <c r="K44" s="97">
        <f t="shared" si="8"/>
        <v>0</v>
      </c>
      <c r="L44" s="97">
        <f t="shared" si="8"/>
        <v>0</v>
      </c>
      <c r="M44" s="97">
        <f t="shared" si="8"/>
        <v>0</v>
      </c>
      <c r="N44" s="97">
        <f t="shared" si="8"/>
        <v>0</v>
      </c>
      <c r="O44" s="97">
        <f t="shared" si="8"/>
        <v>0</v>
      </c>
      <c r="P44" s="97">
        <f t="shared" si="8"/>
        <v>0</v>
      </c>
      <c r="Q44" s="97">
        <f t="shared" si="8"/>
        <v>0</v>
      </c>
    </row>
    <row r="45" spans="1:17" ht="45.75" customHeight="1" x14ac:dyDescent="0.25">
      <c r="A45" s="168"/>
      <c r="B45" s="124"/>
      <c r="C45" s="172"/>
      <c r="D45" s="3" t="s">
        <v>2</v>
      </c>
      <c r="E45" s="101">
        <f>SUM(F45:Q45)</f>
        <v>0</v>
      </c>
      <c r="F45" s="101">
        <f>F40</f>
        <v>0</v>
      </c>
      <c r="G45" s="101">
        <f t="shared" ref="G45:Q45" si="9">G40</f>
        <v>0</v>
      </c>
      <c r="H45" s="101">
        <f t="shared" si="9"/>
        <v>0</v>
      </c>
      <c r="I45" s="101">
        <f t="shared" si="9"/>
        <v>0</v>
      </c>
      <c r="J45" s="101">
        <f t="shared" si="9"/>
        <v>0</v>
      </c>
      <c r="K45" s="101">
        <f t="shared" si="9"/>
        <v>0</v>
      </c>
      <c r="L45" s="101">
        <f t="shared" si="9"/>
        <v>0</v>
      </c>
      <c r="M45" s="101">
        <f t="shared" si="9"/>
        <v>0</v>
      </c>
      <c r="N45" s="101">
        <f t="shared" si="9"/>
        <v>0</v>
      </c>
      <c r="O45" s="101">
        <f t="shared" si="9"/>
        <v>0</v>
      </c>
      <c r="P45" s="101">
        <f t="shared" si="9"/>
        <v>0</v>
      </c>
      <c r="Q45" s="101">
        <f t="shared" si="9"/>
        <v>0</v>
      </c>
    </row>
    <row r="46" spans="1:17" ht="45.75" customHeight="1" x14ac:dyDescent="0.25">
      <c r="A46" s="168"/>
      <c r="B46" s="124"/>
      <c r="C46" s="172"/>
      <c r="D46" s="3" t="s">
        <v>7</v>
      </c>
      <c r="E46" s="101">
        <f>SUM(F46:Q46)</f>
        <v>0</v>
      </c>
      <c r="F46" s="101">
        <f t="shared" ref="F46:Q48" si="10">F41</f>
        <v>0</v>
      </c>
      <c r="G46" s="101">
        <f t="shared" si="10"/>
        <v>0</v>
      </c>
      <c r="H46" s="101">
        <f t="shared" si="10"/>
        <v>0</v>
      </c>
      <c r="I46" s="101">
        <f t="shared" si="10"/>
        <v>0</v>
      </c>
      <c r="J46" s="101">
        <f t="shared" si="10"/>
        <v>0</v>
      </c>
      <c r="K46" s="101">
        <f t="shared" si="10"/>
        <v>0</v>
      </c>
      <c r="L46" s="101">
        <f t="shared" si="10"/>
        <v>0</v>
      </c>
      <c r="M46" s="101">
        <f t="shared" si="10"/>
        <v>0</v>
      </c>
      <c r="N46" s="101">
        <f t="shared" si="10"/>
        <v>0</v>
      </c>
      <c r="O46" s="101">
        <f t="shared" si="10"/>
        <v>0</v>
      </c>
      <c r="P46" s="101">
        <f t="shared" si="10"/>
        <v>0</v>
      </c>
      <c r="Q46" s="101">
        <f t="shared" si="10"/>
        <v>0</v>
      </c>
    </row>
    <row r="47" spans="1:17" ht="15.75" customHeight="1" x14ac:dyDescent="0.25">
      <c r="A47" s="168"/>
      <c r="B47" s="124"/>
      <c r="C47" s="172"/>
      <c r="D47" s="3" t="s">
        <v>3</v>
      </c>
      <c r="E47" s="101">
        <f>SUM(F47:Q47)</f>
        <v>166635.01</v>
      </c>
      <c r="F47" s="101">
        <f>F42</f>
        <v>166635.01</v>
      </c>
      <c r="G47" s="101">
        <f t="shared" si="10"/>
        <v>0</v>
      </c>
      <c r="H47" s="101">
        <f t="shared" si="10"/>
        <v>0</v>
      </c>
      <c r="I47" s="101">
        <f t="shared" si="10"/>
        <v>0</v>
      </c>
      <c r="J47" s="101">
        <f t="shared" si="10"/>
        <v>0</v>
      </c>
      <c r="K47" s="101">
        <f t="shared" si="10"/>
        <v>0</v>
      </c>
      <c r="L47" s="101">
        <f t="shared" si="10"/>
        <v>0</v>
      </c>
      <c r="M47" s="101">
        <f t="shared" si="10"/>
        <v>0</v>
      </c>
      <c r="N47" s="101">
        <f t="shared" si="10"/>
        <v>0</v>
      </c>
      <c r="O47" s="101">
        <f t="shared" si="10"/>
        <v>0</v>
      </c>
      <c r="P47" s="101">
        <f t="shared" si="10"/>
        <v>0</v>
      </c>
      <c r="Q47" s="101">
        <f t="shared" si="10"/>
        <v>0</v>
      </c>
    </row>
    <row r="48" spans="1:17" ht="30.75" customHeight="1" x14ac:dyDescent="0.25">
      <c r="A48" s="169"/>
      <c r="B48" s="125"/>
      <c r="C48" s="173"/>
      <c r="D48" s="3" t="s">
        <v>8</v>
      </c>
      <c r="E48" s="101">
        <f>SUM(F48:Q48)</f>
        <v>0</v>
      </c>
      <c r="F48" s="101">
        <f t="shared" si="10"/>
        <v>0</v>
      </c>
      <c r="G48" s="101">
        <f t="shared" si="10"/>
        <v>0</v>
      </c>
      <c r="H48" s="101">
        <f t="shared" si="10"/>
        <v>0</v>
      </c>
      <c r="I48" s="101">
        <f t="shared" si="10"/>
        <v>0</v>
      </c>
      <c r="J48" s="101">
        <f t="shared" si="10"/>
        <v>0</v>
      </c>
      <c r="K48" s="101">
        <f t="shared" si="10"/>
        <v>0</v>
      </c>
      <c r="L48" s="101">
        <f t="shared" si="10"/>
        <v>0</v>
      </c>
      <c r="M48" s="101">
        <f t="shared" si="10"/>
        <v>0</v>
      </c>
      <c r="N48" s="101">
        <f t="shared" si="10"/>
        <v>0</v>
      </c>
      <c r="O48" s="101">
        <f t="shared" si="10"/>
        <v>0</v>
      </c>
      <c r="P48" s="101">
        <f t="shared" si="10"/>
        <v>0</v>
      </c>
      <c r="Q48" s="101">
        <f t="shared" si="10"/>
        <v>0</v>
      </c>
    </row>
    <row r="49" spans="1:17" ht="15" customHeight="1" x14ac:dyDescent="0.25">
      <c r="A49" s="115" t="s">
        <v>133</v>
      </c>
      <c r="B49" s="115"/>
      <c r="C49" s="115"/>
      <c r="D49" s="115"/>
      <c r="E49" s="115"/>
      <c r="F49" s="115"/>
      <c r="G49" s="115"/>
      <c r="H49" s="115"/>
      <c r="I49" s="115"/>
      <c r="J49" s="115"/>
      <c r="K49" s="115"/>
      <c r="L49" s="115"/>
      <c r="M49" s="115"/>
      <c r="N49" s="115"/>
      <c r="O49" s="115"/>
      <c r="P49" s="115"/>
      <c r="Q49" s="184"/>
    </row>
    <row r="50" spans="1:17" x14ac:dyDescent="0.25">
      <c r="A50" s="185"/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6"/>
    </row>
    <row r="51" spans="1:17" ht="15" customHeight="1" x14ac:dyDescent="0.25">
      <c r="A51" s="167" t="s">
        <v>134</v>
      </c>
      <c r="B51" s="178" t="s">
        <v>135</v>
      </c>
      <c r="C51" s="171" t="s">
        <v>4</v>
      </c>
      <c r="D51" s="3" t="s">
        <v>9</v>
      </c>
      <c r="E51" s="53">
        <f>SUM(E52:E55)</f>
        <v>223420278.94</v>
      </c>
      <c r="F51" s="53">
        <f t="shared" ref="F51:Q51" si="11">SUM(F52:F55)</f>
        <v>33314602.299999997</v>
      </c>
      <c r="G51" s="53">
        <f t="shared" si="11"/>
        <v>34208274.689999998</v>
      </c>
      <c r="H51" s="53">
        <f t="shared" si="11"/>
        <v>65585826.07</v>
      </c>
      <c r="I51" s="53">
        <f t="shared" si="11"/>
        <v>40076338.369999997</v>
      </c>
      <c r="J51" s="53">
        <f t="shared" si="11"/>
        <v>19459919.399999999</v>
      </c>
      <c r="K51" s="53">
        <f t="shared" si="11"/>
        <v>15418887.050000001</v>
      </c>
      <c r="L51" s="53">
        <f t="shared" si="11"/>
        <v>15356431.059999999</v>
      </c>
      <c r="M51" s="53">
        <f t="shared" si="11"/>
        <v>0</v>
      </c>
      <c r="N51" s="53">
        <f t="shared" si="11"/>
        <v>0</v>
      </c>
      <c r="O51" s="53">
        <f t="shared" si="11"/>
        <v>0</v>
      </c>
      <c r="P51" s="53">
        <f t="shared" si="11"/>
        <v>0</v>
      </c>
      <c r="Q51" s="53">
        <f t="shared" si="11"/>
        <v>0</v>
      </c>
    </row>
    <row r="52" spans="1:17" ht="30" x14ac:dyDescent="0.25">
      <c r="A52" s="168"/>
      <c r="B52" s="179"/>
      <c r="C52" s="172"/>
      <c r="D52" s="3" t="s">
        <v>2</v>
      </c>
      <c r="E52" s="97">
        <f>SUM(F52:Q52)</f>
        <v>0</v>
      </c>
      <c r="F52" s="97">
        <v>0</v>
      </c>
      <c r="G52" s="97">
        <v>0</v>
      </c>
      <c r="H52" s="51">
        <v>0</v>
      </c>
      <c r="I52" s="51">
        <v>0</v>
      </c>
      <c r="J52" s="51">
        <v>0</v>
      </c>
      <c r="K52" s="51">
        <v>0</v>
      </c>
      <c r="L52" s="97">
        <v>0</v>
      </c>
      <c r="M52" s="97">
        <v>0</v>
      </c>
      <c r="N52" s="97">
        <v>0</v>
      </c>
      <c r="O52" s="97">
        <v>0</v>
      </c>
      <c r="P52" s="97">
        <v>0</v>
      </c>
      <c r="Q52" s="97">
        <v>0</v>
      </c>
    </row>
    <row r="53" spans="1:17" ht="45" x14ac:dyDescent="0.25">
      <c r="A53" s="168"/>
      <c r="B53" s="179"/>
      <c r="C53" s="172"/>
      <c r="D53" s="3" t="s">
        <v>7</v>
      </c>
      <c r="E53" s="101">
        <f>SUM(F53:Q53)</f>
        <v>90784700</v>
      </c>
      <c r="F53" s="101">
        <f>4534000+398900+13247900</f>
        <v>18180800</v>
      </c>
      <c r="G53" s="101">
        <v>14518000</v>
      </c>
      <c r="H53" s="52">
        <f>4489100+17510500+10800000</f>
        <v>32799600</v>
      </c>
      <c r="I53" s="52">
        <v>17745500</v>
      </c>
      <c r="J53" s="52">
        <v>0</v>
      </c>
      <c r="K53" s="52">
        <v>3746900</v>
      </c>
      <c r="L53" s="52">
        <v>3793900</v>
      </c>
      <c r="M53" s="101">
        <v>0</v>
      </c>
      <c r="N53" s="101">
        <v>0</v>
      </c>
      <c r="O53" s="101">
        <v>0</v>
      </c>
      <c r="P53" s="101">
        <v>0</v>
      </c>
      <c r="Q53" s="101">
        <v>0</v>
      </c>
    </row>
    <row r="54" spans="1:17" x14ac:dyDescent="0.25">
      <c r="A54" s="168"/>
      <c r="B54" s="179"/>
      <c r="C54" s="172"/>
      <c r="D54" s="3" t="s">
        <v>3</v>
      </c>
      <c r="E54" s="101">
        <f t="shared" ref="E54:E60" si="12">SUM(F54:Q54)</f>
        <v>132635578.94000001</v>
      </c>
      <c r="F54" s="101">
        <f>503777.78+3699858.92+4667363.3+5000000-881266.64+881266.64+447531.54+3000000-2184729.24</f>
        <v>15133802.299999999</v>
      </c>
      <c r="G54" s="101">
        <v>19690274.690000001</v>
      </c>
      <c r="H54" s="52">
        <f>498788.89+1945611.11+1200000+12180353.07+239441.85+531498.95+16190532.2</f>
        <v>32786226.07</v>
      </c>
      <c r="I54" s="101">
        <f>3973633.94+10286925.2+6098557.01+1971722.22</f>
        <v>22330838.369999997</v>
      </c>
      <c r="J54" s="52">
        <v>19459919.399999999</v>
      </c>
      <c r="K54" s="52">
        <f>11255664.83+416322.22</f>
        <v>11671987.050000001</v>
      </c>
      <c r="L54" s="101">
        <f>11140986.62+421544.44</f>
        <v>11562531.059999999</v>
      </c>
      <c r="M54" s="101">
        <v>0</v>
      </c>
      <c r="N54" s="101">
        <v>0</v>
      </c>
      <c r="O54" s="101">
        <v>0</v>
      </c>
      <c r="P54" s="101">
        <v>0</v>
      </c>
      <c r="Q54" s="101">
        <v>0</v>
      </c>
    </row>
    <row r="55" spans="1:17" ht="30" x14ac:dyDescent="0.25">
      <c r="A55" s="169"/>
      <c r="B55" s="180"/>
      <c r="C55" s="173"/>
      <c r="D55" s="3" t="s">
        <v>8</v>
      </c>
      <c r="E55" s="101">
        <f t="shared" si="12"/>
        <v>0</v>
      </c>
      <c r="F55" s="101">
        <v>0</v>
      </c>
      <c r="G55" s="101">
        <v>0</v>
      </c>
      <c r="H55" s="52">
        <v>0</v>
      </c>
      <c r="I55" s="52">
        <v>0</v>
      </c>
      <c r="J55" s="52">
        <v>0</v>
      </c>
      <c r="K55" s="52">
        <v>0</v>
      </c>
      <c r="L55" s="101">
        <v>0</v>
      </c>
      <c r="M55" s="101">
        <v>0</v>
      </c>
      <c r="N55" s="101">
        <v>0</v>
      </c>
      <c r="O55" s="101">
        <v>0</v>
      </c>
      <c r="P55" s="101">
        <v>0</v>
      </c>
      <c r="Q55" s="101">
        <v>0</v>
      </c>
    </row>
    <row r="56" spans="1:17" x14ac:dyDescent="0.25">
      <c r="A56" s="167"/>
      <c r="B56" s="170" t="s">
        <v>136</v>
      </c>
      <c r="C56" s="171"/>
      <c r="D56" s="3" t="s">
        <v>9</v>
      </c>
      <c r="E56" s="53">
        <f>SUM(E57:E60)</f>
        <v>223420278.94</v>
      </c>
      <c r="F56" s="53">
        <f t="shared" ref="F56:Q56" si="13">SUM(F57:F60)</f>
        <v>33314602.299999997</v>
      </c>
      <c r="G56" s="53">
        <f t="shared" si="13"/>
        <v>34208274.689999998</v>
      </c>
      <c r="H56" s="53">
        <f t="shared" si="13"/>
        <v>65585826.07</v>
      </c>
      <c r="I56" s="53">
        <f t="shared" si="13"/>
        <v>40076338.369999997</v>
      </c>
      <c r="J56" s="53">
        <f t="shared" si="13"/>
        <v>19459919.399999999</v>
      </c>
      <c r="K56" s="53">
        <f t="shared" si="13"/>
        <v>15418887.050000001</v>
      </c>
      <c r="L56" s="53">
        <f t="shared" si="13"/>
        <v>15356431.059999999</v>
      </c>
      <c r="M56" s="53">
        <f t="shared" si="13"/>
        <v>0</v>
      </c>
      <c r="N56" s="53">
        <f t="shared" si="13"/>
        <v>0</v>
      </c>
      <c r="O56" s="53">
        <f t="shared" si="13"/>
        <v>0</v>
      </c>
      <c r="P56" s="53">
        <f t="shared" si="13"/>
        <v>0</v>
      </c>
      <c r="Q56" s="53">
        <f t="shared" si="13"/>
        <v>0</v>
      </c>
    </row>
    <row r="57" spans="1:17" ht="30" x14ac:dyDescent="0.25">
      <c r="A57" s="168"/>
      <c r="B57" s="124"/>
      <c r="C57" s="172"/>
      <c r="D57" s="3" t="s">
        <v>2</v>
      </c>
      <c r="E57" s="97">
        <f>SUM(F57:Q57)</f>
        <v>0</v>
      </c>
      <c r="F57" s="97">
        <f>F52</f>
        <v>0</v>
      </c>
      <c r="G57" s="97">
        <f t="shared" ref="G57:Q57" si="14">G52</f>
        <v>0</v>
      </c>
      <c r="H57" s="97">
        <f t="shared" si="14"/>
        <v>0</v>
      </c>
      <c r="I57" s="97">
        <f t="shared" si="14"/>
        <v>0</v>
      </c>
      <c r="J57" s="97">
        <f t="shared" si="14"/>
        <v>0</v>
      </c>
      <c r="K57" s="97">
        <f t="shared" si="14"/>
        <v>0</v>
      </c>
      <c r="L57" s="97">
        <f t="shared" si="14"/>
        <v>0</v>
      </c>
      <c r="M57" s="97">
        <f t="shared" si="14"/>
        <v>0</v>
      </c>
      <c r="N57" s="97">
        <f t="shared" si="14"/>
        <v>0</v>
      </c>
      <c r="O57" s="97">
        <f t="shared" si="14"/>
        <v>0</v>
      </c>
      <c r="P57" s="97">
        <f t="shared" si="14"/>
        <v>0</v>
      </c>
      <c r="Q57" s="97">
        <f t="shared" si="14"/>
        <v>0</v>
      </c>
    </row>
    <row r="58" spans="1:17" ht="45" x14ac:dyDescent="0.25">
      <c r="A58" s="168"/>
      <c r="B58" s="124"/>
      <c r="C58" s="172"/>
      <c r="D58" s="3" t="s">
        <v>7</v>
      </c>
      <c r="E58" s="101">
        <f t="shared" si="12"/>
        <v>90784700</v>
      </c>
      <c r="F58" s="97">
        <f t="shared" ref="F58:Q60" si="15">F53</f>
        <v>18180800</v>
      </c>
      <c r="G58" s="97">
        <f t="shared" si="15"/>
        <v>14518000</v>
      </c>
      <c r="H58" s="97">
        <f t="shared" si="15"/>
        <v>32799600</v>
      </c>
      <c r="I58" s="97">
        <f t="shared" si="15"/>
        <v>17745500</v>
      </c>
      <c r="J58" s="97">
        <f t="shared" si="15"/>
        <v>0</v>
      </c>
      <c r="K58" s="97">
        <f t="shared" si="15"/>
        <v>3746900</v>
      </c>
      <c r="L58" s="97">
        <f t="shared" si="15"/>
        <v>3793900</v>
      </c>
      <c r="M58" s="97">
        <f t="shared" si="15"/>
        <v>0</v>
      </c>
      <c r="N58" s="97">
        <f t="shared" si="15"/>
        <v>0</v>
      </c>
      <c r="O58" s="97">
        <f t="shared" si="15"/>
        <v>0</v>
      </c>
      <c r="P58" s="97">
        <f t="shared" si="15"/>
        <v>0</v>
      </c>
      <c r="Q58" s="97">
        <f t="shared" si="15"/>
        <v>0</v>
      </c>
    </row>
    <row r="59" spans="1:17" x14ac:dyDescent="0.25">
      <c r="A59" s="168"/>
      <c r="B59" s="124"/>
      <c r="C59" s="172"/>
      <c r="D59" s="3" t="s">
        <v>3</v>
      </c>
      <c r="E59" s="101">
        <f t="shared" si="12"/>
        <v>132635578.94000001</v>
      </c>
      <c r="F59" s="97">
        <f t="shared" si="15"/>
        <v>15133802.299999999</v>
      </c>
      <c r="G59" s="97">
        <f t="shared" si="15"/>
        <v>19690274.690000001</v>
      </c>
      <c r="H59" s="97">
        <f t="shared" si="15"/>
        <v>32786226.07</v>
      </c>
      <c r="I59" s="97">
        <f t="shared" si="15"/>
        <v>22330838.369999997</v>
      </c>
      <c r="J59" s="97">
        <f t="shared" si="15"/>
        <v>19459919.399999999</v>
      </c>
      <c r="K59" s="97">
        <f t="shared" si="15"/>
        <v>11671987.050000001</v>
      </c>
      <c r="L59" s="97">
        <f t="shared" si="15"/>
        <v>11562531.059999999</v>
      </c>
      <c r="M59" s="97">
        <f t="shared" si="15"/>
        <v>0</v>
      </c>
      <c r="N59" s="97">
        <f t="shared" si="15"/>
        <v>0</v>
      </c>
      <c r="O59" s="97">
        <f t="shared" si="15"/>
        <v>0</v>
      </c>
      <c r="P59" s="97">
        <f t="shared" si="15"/>
        <v>0</v>
      </c>
      <c r="Q59" s="97">
        <f t="shared" si="15"/>
        <v>0</v>
      </c>
    </row>
    <row r="60" spans="1:17" ht="30" x14ac:dyDescent="0.25">
      <c r="A60" s="169"/>
      <c r="B60" s="125"/>
      <c r="C60" s="173"/>
      <c r="D60" s="3" t="s">
        <v>8</v>
      </c>
      <c r="E60" s="101">
        <f t="shared" si="12"/>
        <v>0</v>
      </c>
      <c r="F60" s="97">
        <f t="shared" si="15"/>
        <v>0</v>
      </c>
      <c r="G60" s="97">
        <f t="shared" si="15"/>
        <v>0</v>
      </c>
      <c r="H60" s="97">
        <f t="shared" si="15"/>
        <v>0</v>
      </c>
      <c r="I60" s="97">
        <f t="shared" si="15"/>
        <v>0</v>
      </c>
      <c r="J60" s="97">
        <f t="shared" si="15"/>
        <v>0</v>
      </c>
      <c r="K60" s="97">
        <f t="shared" si="15"/>
        <v>0</v>
      </c>
      <c r="L60" s="97">
        <f t="shared" si="15"/>
        <v>0</v>
      </c>
      <c r="M60" s="97">
        <f t="shared" si="15"/>
        <v>0</v>
      </c>
      <c r="N60" s="97">
        <f t="shared" si="15"/>
        <v>0</v>
      </c>
      <c r="O60" s="97">
        <f t="shared" si="15"/>
        <v>0</v>
      </c>
      <c r="P60" s="97">
        <f t="shared" si="15"/>
        <v>0</v>
      </c>
      <c r="Q60" s="97">
        <f t="shared" si="15"/>
        <v>0</v>
      </c>
    </row>
    <row r="61" spans="1:17" s="50" customFormat="1" x14ac:dyDescent="0.25">
      <c r="A61" s="181" t="s">
        <v>137</v>
      </c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3"/>
    </row>
    <row r="62" spans="1:17" ht="15" customHeight="1" x14ac:dyDescent="0.25">
      <c r="A62" s="159" t="s">
        <v>138</v>
      </c>
      <c r="B62" s="162" t="s">
        <v>139</v>
      </c>
      <c r="C62" s="165" t="s">
        <v>4</v>
      </c>
      <c r="D62" s="3" t="s">
        <v>9</v>
      </c>
      <c r="E62" s="53">
        <f>SUM(E63:E66)</f>
        <v>1240000</v>
      </c>
      <c r="F62" s="53">
        <f t="shared" ref="F62:Q62" si="16">SUM(F63:F66)</f>
        <v>1220000</v>
      </c>
      <c r="G62" s="53">
        <f t="shared" si="16"/>
        <v>20000</v>
      </c>
      <c r="H62" s="53">
        <f t="shared" si="16"/>
        <v>0</v>
      </c>
      <c r="I62" s="53">
        <f t="shared" si="16"/>
        <v>0</v>
      </c>
      <c r="J62" s="53">
        <f t="shared" si="16"/>
        <v>0</v>
      </c>
      <c r="K62" s="53">
        <f t="shared" si="16"/>
        <v>0</v>
      </c>
      <c r="L62" s="53">
        <f t="shared" si="16"/>
        <v>0</v>
      </c>
      <c r="M62" s="53">
        <f t="shared" si="16"/>
        <v>0</v>
      </c>
      <c r="N62" s="53">
        <f t="shared" si="16"/>
        <v>0</v>
      </c>
      <c r="O62" s="53">
        <f t="shared" si="16"/>
        <v>0</v>
      </c>
      <c r="P62" s="53">
        <f t="shared" si="16"/>
        <v>0</v>
      </c>
      <c r="Q62" s="53">
        <f t="shared" si="16"/>
        <v>0</v>
      </c>
    </row>
    <row r="63" spans="1:17" ht="30" x14ac:dyDescent="0.25">
      <c r="A63" s="160"/>
      <c r="B63" s="163"/>
      <c r="C63" s="166"/>
      <c r="D63" s="3" t="s">
        <v>2</v>
      </c>
      <c r="E63" s="97">
        <f>SUM(F63:Q63)</f>
        <v>0</v>
      </c>
      <c r="F63" s="97">
        <v>0</v>
      </c>
      <c r="G63" s="97">
        <v>0</v>
      </c>
      <c r="H63" s="51">
        <v>0</v>
      </c>
      <c r="I63" s="51">
        <v>0</v>
      </c>
      <c r="J63" s="51">
        <v>0</v>
      </c>
      <c r="K63" s="51">
        <v>0</v>
      </c>
      <c r="L63" s="97">
        <v>0</v>
      </c>
      <c r="M63" s="97">
        <v>0</v>
      </c>
      <c r="N63" s="97">
        <v>0</v>
      </c>
      <c r="O63" s="97">
        <v>0</v>
      </c>
      <c r="P63" s="97">
        <v>0</v>
      </c>
      <c r="Q63" s="97">
        <v>0</v>
      </c>
    </row>
    <row r="64" spans="1:17" ht="45" x14ac:dyDescent="0.25">
      <c r="A64" s="160"/>
      <c r="B64" s="163"/>
      <c r="C64" s="166"/>
      <c r="D64" s="3" t="s">
        <v>7</v>
      </c>
      <c r="E64" s="101">
        <f>SUM(F64:Q64)</f>
        <v>0</v>
      </c>
      <c r="F64" s="101">
        <v>0</v>
      </c>
      <c r="G64" s="101">
        <v>0</v>
      </c>
      <c r="H64" s="52">
        <v>0</v>
      </c>
      <c r="I64" s="52">
        <v>0</v>
      </c>
      <c r="J64" s="52">
        <v>0</v>
      </c>
      <c r="K64" s="52">
        <v>0</v>
      </c>
      <c r="L64" s="101">
        <v>0</v>
      </c>
      <c r="M64" s="101">
        <v>0</v>
      </c>
      <c r="N64" s="101">
        <v>0</v>
      </c>
      <c r="O64" s="101">
        <v>0</v>
      </c>
      <c r="P64" s="101">
        <v>0</v>
      </c>
      <c r="Q64" s="101">
        <v>0</v>
      </c>
    </row>
    <row r="65" spans="1:17" x14ac:dyDescent="0.25">
      <c r="A65" s="160"/>
      <c r="B65" s="163"/>
      <c r="C65" s="166"/>
      <c r="D65" s="3" t="s">
        <v>3</v>
      </c>
      <c r="E65" s="101">
        <f>SUM(F65:Q65)</f>
        <v>0</v>
      </c>
      <c r="F65" s="101">
        <v>0</v>
      </c>
      <c r="G65" s="101">
        <v>0</v>
      </c>
      <c r="H65" s="52">
        <v>0</v>
      </c>
      <c r="I65" s="52">
        <v>0</v>
      </c>
      <c r="J65" s="52">
        <v>0</v>
      </c>
      <c r="K65" s="52">
        <v>0</v>
      </c>
      <c r="L65" s="101">
        <v>0</v>
      </c>
      <c r="M65" s="101">
        <v>0</v>
      </c>
      <c r="N65" s="101">
        <v>0</v>
      </c>
      <c r="O65" s="101">
        <v>0</v>
      </c>
      <c r="P65" s="101">
        <v>0</v>
      </c>
      <c r="Q65" s="101">
        <v>0</v>
      </c>
    </row>
    <row r="66" spans="1:17" ht="30" x14ac:dyDescent="0.25">
      <c r="A66" s="161"/>
      <c r="B66" s="164"/>
      <c r="C66" s="131"/>
      <c r="D66" s="3" t="s">
        <v>8</v>
      </c>
      <c r="E66" s="101">
        <f>SUM(F66:Q66)</f>
        <v>1240000</v>
      </c>
      <c r="F66" s="101">
        <v>1220000</v>
      </c>
      <c r="G66" s="101">
        <v>20000</v>
      </c>
      <c r="H66" s="52">
        <v>0</v>
      </c>
      <c r="I66" s="52">
        <v>0</v>
      </c>
      <c r="J66" s="52">
        <v>0</v>
      </c>
      <c r="K66" s="52">
        <v>0</v>
      </c>
      <c r="L66" s="101">
        <v>0</v>
      </c>
      <c r="M66" s="101">
        <v>0</v>
      </c>
      <c r="N66" s="101">
        <v>0</v>
      </c>
      <c r="O66" s="101">
        <v>0</v>
      </c>
      <c r="P66" s="101">
        <v>0</v>
      </c>
      <c r="Q66" s="101">
        <v>0</v>
      </c>
    </row>
    <row r="67" spans="1:17" x14ac:dyDescent="0.25">
      <c r="A67" s="159"/>
      <c r="B67" s="170" t="s">
        <v>140</v>
      </c>
      <c r="C67" s="165"/>
      <c r="D67" s="3" t="s">
        <v>9</v>
      </c>
      <c r="E67" s="53">
        <f>SUM(E68:E71)</f>
        <v>1240000</v>
      </c>
      <c r="F67" s="53">
        <f>SUM(F68:F71)</f>
        <v>1220000</v>
      </c>
      <c r="G67" s="53">
        <f t="shared" ref="G67:Q67" si="17">SUM(G68:G71)</f>
        <v>20000</v>
      </c>
      <c r="H67" s="53">
        <f t="shared" si="17"/>
        <v>0</v>
      </c>
      <c r="I67" s="53">
        <f t="shared" si="17"/>
        <v>0</v>
      </c>
      <c r="J67" s="53">
        <f t="shared" si="17"/>
        <v>0</v>
      </c>
      <c r="K67" s="53">
        <f t="shared" si="17"/>
        <v>0</v>
      </c>
      <c r="L67" s="53">
        <f t="shared" si="17"/>
        <v>0</v>
      </c>
      <c r="M67" s="53">
        <f t="shared" si="17"/>
        <v>0</v>
      </c>
      <c r="N67" s="53">
        <f t="shared" si="17"/>
        <v>0</v>
      </c>
      <c r="O67" s="53">
        <f t="shared" si="17"/>
        <v>0</v>
      </c>
      <c r="P67" s="53">
        <f t="shared" si="17"/>
        <v>0</v>
      </c>
      <c r="Q67" s="53">
        <f t="shared" si="17"/>
        <v>0</v>
      </c>
    </row>
    <row r="68" spans="1:17" ht="30" x14ac:dyDescent="0.25">
      <c r="A68" s="160"/>
      <c r="B68" s="124"/>
      <c r="C68" s="166"/>
      <c r="D68" s="3" t="s">
        <v>2</v>
      </c>
      <c r="E68" s="97">
        <v>0</v>
      </c>
      <c r="F68" s="97">
        <f>F63</f>
        <v>0</v>
      </c>
      <c r="G68" s="97">
        <f t="shared" ref="G68:Q68" si="18">G63</f>
        <v>0</v>
      </c>
      <c r="H68" s="97">
        <f t="shared" si="18"/>
        <v>0</v>
      </c>
      <c r="I68" s="97">
        <f t="shared" si="18"/>
        <v>0</v>
      </c>
      <c r="J68" s="97">
        <f t="shared" si="18"/>
        <v>0</v>
      </c>
      <c r="K68" s="97">
        <f t="shared" si="18"/>
        <v>0</v>
      </c>
      <c r="L68" s="97">
        <f t="shared" si="18"/>
        <v>0</v>
      </c>
      <c r="M68" s="97">
        <f t="shared" si="18"/>
        <v>0</v>
      </c>
      <c r="N68" s="97">
        <f t="shared" si="18"/>
        <v>0</v>
      </c>
      <c r="O68" s="97">
        <f t="shared" si="18"/>
        <v>0</v>
      </c>
      <c r="P68" s="97">
        <f t="shared" si="18"/>
        <v>0</v>
      </c>
      <c r="Q68" s="97">
        <f t="shared" si="18"/>
        <v>0</v>
      </c>
    </row>
    <row r="69" spans="1:17" ht="45" x14ac:dyDescent="0.25">
      <c r="A69" s="160"/>
      <c r="B69" s="124"/>
      <c r="C69" s="166"/>
      <c r="D69" s="3" t="s">
        <v>7</v>
      </c>
      <c r="E69" s="101">
        <f>SUM(F69:Q69)</f>
        <v>0</v>
      </c>
      <c r="F69" s="97">
        <f t="shared" ref="F69:Q71" si="19">F64</f>
        <v>0</v>
      </c>
      <c r="G69" s="97">
        <f t="shared" si="19"/>
        <v>0</v>
      </c>
      <c r="H69" s="97">
        <f t="shared" si="19"/>
        <v>0</v>
      </c>
      <c r="I69" s="97">
        <f t="shared" si="19"/>
        <v>0</v>
      </c>
      <c r="J69" s="97">
        <f t="shared" si="19"/>
        <v>0</v>
      </c>
      <c r="K69" s="97">
        <f t="shared" si="19"/>
        <v>0</v>
      </c>
      <c r="L69" s="97">
        <f t="shared" si="19"/>
        <v>0</v>
      </c>
      <c r="M69" s="97">
        <f t="shared" si="19"/>
        <v>0</v>
      </c>
      <c r="N69" s="97">
        <f t="shared" si="19"/>
        <v>0</v>
      </c>
      <c r="O69" s="97">
        <f t="shared" si="19"/>
        <v>0</v>
      </c>
      <c r="P69" s="97">
        <f t="shared" si="19"/>
        <v>0</v>
      </c>
      <c r="Q69" s="97">
        <f t="shared" si="19"/>
        <v>0</v>
      </c>
    </row>
    <row r="70" spans="1:17" x14ac:dyDescent="0.25">
      <c r="A70" s="160"/>
      <c r="B70" s="124"/>
      <c r="C70" s="166"/>
      <c r="D70" s="3" t="s">
        <v>3</v>
      </c>
      <c r="E70" s="101">
        <f>SUM(F70:Q70)</f>
        <v>0</v>
      </c>
      <c r="F70" s="97">
        <f t="shared" si="19"/>
        <v>0</v>
      </c>
      <c r="G70" s="97">
        <f t="shared" si="19"/>
        <v>0</v>
      </c>
      <c r="H70" s="97">
        <f t="shared" si="19"/>
        <v>0</v>
      </c>
      <c r="I70" s="97">
        <f t="shared" si="19"/>
        <v>0</v>
      </c>
      <c r="J70" s="97">
        <f t="shared" si="19"/>
        <v>0</v>
      </c>
      <c r="K70" s="97">
        <f t="shared" si="19"/>
        <v>0</v>
      </c>
      <c r="L70" s="97">
        <f t="shared" si="19"/>
        <v>0</v>
      </c>
      <c r="M70" s="97">
        <f t="shared" si="19"/>
        <v>0</v>
      </c>
      <c r="N70" s="97">
        <f t="shared" si="19"/>
        <v>0</v>
      </c>
      <c r="O70" s="97">
        <f t="shared" si="19"/>
        <v>0</v>
      </c>
      <c r="P70" s="97">
        <f t="shared" si="19"/>
        <v>0</v>
      </c>
      <c r="Q70" s="97">
        <f t="shared" si="19"/>
        <v>0</v>
      </c>
    </row>
    <row r="71" spans="1:17" ht="30" x14ac:dyDescent="0.25">
      <c r="A71" s="161"/>
      <c r="B71" s="125"/>
      <c r="C71" s="131"/>
      <c r="D71" s="3" t="s">
        <v>8</v>
      </c>
      <c r="E71" s="101">
        <f>SUM(F71:Q71)</f>
        <v>1240000</v>
      </c>
      <c r="F71" s="97">
        <f t="shared" si="19"/>
        <v>1220000</v>
      </c>
      <c r="G71" s="97">
        <f t="shared" si="19"/>
        <v>20000</v>
      </c>
      <c r="H71" s="97">
        <f t="shared" si="19"/>
        <v>0</v>
      </c>
      <c r="I71" s="97">
        <f t="shared" si="19"/>
        <v>0</v>
      </c>
      <c r="J71" s="97">
        <f t="shared" si="19"/>
        <v>0</v>
      </c>
      <c r="K71" s="97">
        <f t="shared" si="19"/>
        <v>0</v>
      </c>
      <c r="L71" s="97">
        <f t="shared" si="19"/>
        <v>0</v>
      </c>
      <c r="M71" s="97">
        <f t="shared" si="19"/>
        <v>0</v>
      </c>
      <c r="N71" s="97">
        <f t="shared" si="19"/>
        <v>0</v>
      </c>
      <c r="O71" s="97">
        <f t="shared" si="19"/>
        <v>0</v>
      </c>
      <c r="P71" s="97">
        <f t="shared" si="19"/>
        <v>0</v>
      </c>
      <c r="Q71" s="97">
        <f t="shared" si="19"/>
        <v>0</v>
      </c>
    </row>
    <row r="72" spans="1:17" s="50" customFormat="1" x14ac:dyDescent="0.25">
      <c r="A72" s="181" t="s">
        <v>141</v>
      </c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3"/>
    </row>
    <row r="73" spans="1:17" ht="15" customHeight="1" x14ac:dyDescent="0.25">
      <c r="A73" s="159" t="s">
        <v>142</v>
      </c>
      <c r="B73" s="162" t="s">
        <v>143</v>
      </c>
      <c r="C73" s="165" t="s">
        <v>4</v>
      </c>
      <c r="D73" s="3" t="s">
        <v>9</v>
      </c>
      <c r="E73" s="53">
        <f>SUM(E74:E77)</f>
        <v>47160666.640000001</v>
      </c>
      <c r="F73" s="53">
        <f t="shared" ref="F73:Q73" si="20">SUM(F74:F77)</f>
        <v>5235639.05</v>
      </c>
      <c r="G73" s="53">
        <f t="shared" si="20"/>
        <v>5750468.4000000004</v>
      </c>
      <c r="H73" s="53">
        <f t="shared" si="20"/>
        <v>6090778.1799999997</v>
      </c>
      <c r="I73" s="53">
        <f t="shared" si="20"/>
        <v>6392695.3799999999</v>
      </c>
      <c r="J73" s="53">
        <f t="shared" si="20"/>
        <v>8063695.21</v>
      </c>
      <c r="K73" s="53">
        <f t="shared" si="20"/>
        <v>7813695.21</v>
      </c>
      <c r="L73" s="53">
        <f t="shared" si="20"/>
        <v>7813695.21</v>
      </c>
      <c r="M73" s="53">
        <f t="shared" si="20"/>
        <v>0</v>
      </c>
      <c r="N73" s="53">
        <f t="shared" si="20"/>
        <v>0</v>
      </c>
      <c r="O73" s="53">
        <f t="shared" si="20"/>
        <v>0</v>
      </c>
      <c r="P73" s="53">
        <f t="shared" si="20"/>
        <v>0</v>
      </c>
      <c r="Q73" s="53">
        <f t="shared" si="20"/>
        <v>0</v>
      </c>
    </row>
    <row r="74" spans="1:17" ht="30" x14ac:dyDescent="0.25">
      <c r="A74" s="160"/>
      <c r="B74" s="163"/>
      <c r="C74" s="166"/>
      <c r="D74" s="3" t="s">
        <v>2</v>
      </c>
      <c r="E74" s="97">
        <f>SUM(F74:Q74)</f>
        <v>0</v>
      </c>
      <c r="F74" s="97">
        <v>0</v>
      </c>
      <c r="G74" s="97">
        <v>0</v>
      </c>
      <c r="H74" s="51">
        <v>0</v>
      </c>
      <c r="I74" s="51">
        <v>0</v>
      </c>
      <c r="J74" s="51">
        <v>0</v>
      </c>
      <c r="K74" s="51">
        <v>0</v>
      </c>
      <c r="L74" s="97">
        <v>0</v>
      </c>
      <c r="M74" s="97">
        <v>0</v>
      </c>
      <c r="N74" s="97">
        <v>0</v>
      </c>
      <c r="O74" s="97">
        <v>0</v>
      </c>
      <c r="P74" s="97">
        <v>0</v>
      </c>
      <c r="Q74" s="97">
        <v>0</v>
      </c>
    </row>
    <row r="75" spans="1:17" ht="45" x14ac:dyDescent="0.25">
      <c r="A75" s="160"/>
      <c r="B75" s="163"/>
      <c r="C75" s="166"/>
      <c r="D75" s="3" t="s">
        <v>7</v>
      </c>
      <c r="E75" s="101">
        <f>SUM(F75:Q75)</f>
        <v>0</v>
      </c>
      <c r="F75" s="101">
        <v>0</v>
      </c>
      <c r="G75" s="101">
        <v>0</v>
      </c>
      <c r="H75" s="52">
        <v>0</v>
      </c>
      <c r="I75" s="52">
        <v>0</v>
      </c>
      <c r="J75" s="52">
        <v>0</v>
      </c>
      <c r="K75" s="52">
        <v>0</v>
      </c>
      <c r="L75" s="101">
        <v>0</v>
      </c>
      <c r="M75" s="101">
        <v>0</v>
      </c>
      <c r="N75" s="101">
        <v>0</v>
      </c>
      <c r="O75" s="101">
        <v>0</v>
      </c>
      <c r="P75" s="101">
        <v>0</v>
      </c>
      <c r="Q75" s="101">
        <v>0</v>
      </c>
    </row>
    <row r="76" spans="1:17" x14ac:dyDescent="0.25">
      <c r="A76" s="160"/>
      <c r="B76" s="163"/>
      <c r="C76" s="166"/>
      <c r="D76" s="3" t="s">
        <v>3</v>
      </c>
      <c r="E76" s="101">
        <f>SUM(F76:Q76)</f>
        <v>47160666.640000001</v>
      </c>
      <c r="F76" s="101">
        <f>4878624.41+357014.64</f>
        <v>5235639.05</v>
      </c>
      <c r="G76" s="101">
        <v>5750468.4000000004</v>
      </c>
      <c r="H76" s="52">
        <v>6090778.1799999997</v>
      </c>
      <c r="I76" s="52">
        <v>6392695.3799999999</v>
      </c>
      <c r="J76" s="52">
        <v>8063695.21</v>
      </c>
      <c r="K76" s="52">
        <v>7813695.21</v>
      </c>
      <c r="L76" s="101">
        <v>7813695.21</v>
      </c>
      <c r="M76" s="101">
        <v>0</v>
      </c>
      <c r="N76" s="101">
        <v>0</v>
      </c>
      <c r="O76" s="101">
        <v>0</v>
      </c>
      <c r="P76" s="101">
        <v>0</v>
      </c>
      <c r="Q76" s="101">
        <v>0</v>
      </c>
    </row>
    <row r="77" spans="1:17" ht="30" x14ac:dyDescent="0.25">
      <c r="A77" s="161"/>
      <c r="B77" s="164"/>
      <c r="C77" s="131"/>
      <c r="D77" s="3" t="s">
        <v>8</v>
      </c>
      <c r="E77" s="101">
        <f>SUM(F77:Q77)</f>
        <v>0</v>
      </c>
      <c r="F77" s="101">
        <v>0</v>
      </c>
      <c r="G77" s="101">
        <v>0</v>
      </c>
      <c r="H77" s="52">
        <v>0</v>
      </c>
      <c r="I77" s="52">
        <v>0</v>
      </c>
      <c r="J77" s="52">
        <v>0</v>
      </c>
      <c r="K77" s="52">
        <v>0</v>
      </c>
      <c r="L77" s="101">
        <v>0</v>
      </c>
      <c r="M77" s="101">
        <v>0</v>
      </c>
      <c r="N77" s="101">
        <v>0</v>
      </c>
      <c r="O77" s="101">
        <v>0</v>
      </c>
      <c r="P77" s="101">
        <v>0</v>
      </c>
      <c r="Q77" s="101">
        <v>0</v>
      </c>
    </row>
    <row r="78" spans="1:17" ht="15" customHeight="1" x14ac:dyDescent="0.25">
      <c r="A78" s="159" t="s">
        <v>144</v>
      </c>
      <c r="B78" s="162" t="s">
        <v>145</v>
      </c>
      <c r="C78" s="165" t="s">
        <v>4</v>
      </c>
      <c r="D78" s="3" t="s">
        <v>9</v>
      </c>
      <c r="E78" s="97">
        <f>SUM(E79:E82)</f>
        <v>32263072.819999997</v>
      </c>
      <c r="F78" s="97">
        <f t="shared" ref="F78:Q78" si="21">SUM(F79:F82)</f>
        <v>4139001.68</v>
      </c>
      <c r="G78" s="97">
        <f t="shared" si="21"/>
        <v>4760740.7300000004</v>
      </c>
      <c r="H78" s="97">
        <f t="shared" si="21"/>
        <v>4998528.84</v>
      </c>
      <c r="I78" s="97">
        <f t="shared" si="21"/>
        <v>5669107.7699999996</v>
      </c>
      <c r="J78" s="97">
        <f t="shared" si="21"/>
        <v>6144250.04</v>
      </c>
      <c r="K78" s="97">
        <f t="shared" si="21"/>
        <v>3275721.88</v>
      </c>
      <c r="L78" s="97">
        <f t="shared" si="21"/>
        <v>3275721.88</v>
      </c>
      <c r="M78" s="97">
        <f t="shared" si="21"/>
        <v>0</v>
      </c>
      <c r="N78" s="97">
        <f t="shared" si="21"/>
        <v>0</v>
      </c>
      <c r="O78" s="97">
        <f t="shared" si="21"/>
        <v>0</v>
      </c>
      <c r="P78" s="97">
        <f t="shared" si="21"/>
        <v>0</v>
      </c>
      <c r="Q78" s="97">
        <f t="shared" si="21"/>
        <v>0</v>
      </c>
    </row>
    <row r="79" spans="1:17" ht="30" x14ac:dyDescent="0.25">
      <c r="A79" s="160"/>
      <c r="B79" s="163"/>
      <c r="C79" s="166"/>
      <c r="D79" s="3" t="s">
        <v>2</v>
      </c>
      <c r="E79" s="97">
        <f>SUM(F79:Q79)</f>
        <v>0</v>
      </c>
      <c r="F79" s="97">
        <v>0</v>
      </c>
      <c r="G79" s="97">
        <v>0</v>
      </c>
      <c r="H79" s="51">
        <v>0</v>
      </c>
      <c r="I79" s="51">
        <v>0</v>
      </c>
      <c r="J79" s="51">
        <v>0</v>
      </c>
      <c r="K79" s="51">
        <v>0</v>
      </c>
      <c r="L79" s="97">
        <v>0</v>
      </c>
      <c r="M79" s="97">
        <v>0</v>
      </c>
      <c r="N79" s="97">
        <v>0</v>
      </c>
      <c r="O79" s="97">
        <v>0</v>
      </c>
      <c r="P79" s="97">
        <v>0</v>
      </c>
      <c r="Q79" s="97">
        <v>0</v>
      </c>
    </row>
    <row r="80" spans="1:17" ht="45" x14ac:dyDescent="0.25">
      <c r="A80" s="160"/>
      <c r="B80" s="163"/>
      <c r="C80" s="166"/>
      <c r="D80" s="3" t="s">
        <v>7</v>
      </c>
      <c r="E80" s="101">
        <f>SUM(F80:Q80)</f>
        <v>0</v>
      </c>
      <c r="F80" s="101">
        <v>0</v>
      </c>
      <c r="G80" s="101">
        <v>0</v>
      </c>
      <c r="H80" s="52">
        <v>0</v>
      </c>
      <c r="I80" s="52">
        <v>0</v>
      </c>
      <c r="J80" s="52">
        <v>0</v>
      </c>
      <c r="K80" s="52">
        <v>0</v>
      </c>
      <c r="L80" s="101">
        <v>0</v>
      </c>
      <c r="M80" s="101">
        <v>0</v>
      </c>
      <c r="N80" s="101">
        <v>0</v>
      </c>
      <c r="O80" s="101">
        <v>0</v>
      </c>
      <c r="P80" s="101">
        <v>0</v>
      </c>
      <c r="Q80" s="101">
        <v>0</v>
      </c>
    </row>
    <row r="81" spans="1:17" x14ac:dyDescent="0.25">
      <c r="A81" s="160"/>
      <c r="B81" s="163"/>
      <c r="C81" s="166"/>
      <c r="D81" s="3" t="s">
        <v>3</v>
      </c>
      <c r="E81" s="101">
        <f>SUM(F81:Q81)</f>
        <v>32263072.819999997</v>
      </c>
      <c r="F81" s="101">
        <f>4066109.14+72892.54</f>
        <v>4139001.68</v>
      </c>
      <c r="G81" s="101">
        <v>4760740.7300000004</v>
      </c>
      <c r="H81" s="52">
        <v>4998528.84</v>
      </c>
      <c r="I81" s="52">
        <v>5669107.7699999996</v>
      </c>
      <c r="J81" s="52">
        <v>6144250.04</v>
      </c>
      <c r="K81" s="52">
        <v>3275721.88</v>
      </c>
      <c r="L81" s="101">
        <v>3275721.88</v>
      </c>
      <c r="M81" s="101">
        <v>0</v>
      </c>
      <c r="N81" s="101">
        <v>0</v>
      </c>
      <c r="O81" s="101">
        <v>0</v>
      </c>
      <c r="P81" s="101">
        <v>0</v>
      </c>
      <c r="Q81" s="101">
        <v>0</v>
      </c>
    </row>
    <row r="82" spans="1:17" ht="30" x14ac:dyDescent="0.25">
      <c r="A82" s="161"/>
      <c r="B82" s="164"/>
      <c r="C82" s="131"/>
      <c r="D82" s="3" t="s">
        <v>8</v>
      </c>
      <c r="E82" s="101">
        <f>SUM(F82:Q82)</f>
        <v>0</v>
      </c>
      <c r="F82" s="101">
        <v>0</v>
      </c>
      <c r="G82" s="101">
        <v>0</v>
      </c>
      <c r="H82" s="52">
        <v>0</v>
      </c>
      <c r="I82" s="52">
        <v>0</v>
      </c>
      <c r="J82" s="52">
        <v>0</v>
      </c>
      <c r="K82" s="52">
        <v>0</v>
      </c>
      <c r="L82" s="101">
        <v>0</v>
      </c>
      <c r="M82" s="101">
        <v>0</v>
      </c>
      <c r="N82" s="101">
        <v>0</v>
      </c>
      <c r="O82" s="101">
        <v>0</v>
      </c>
      <c r="P82" s="101">
        <v>0</v>
      </c>
      <c r="Q82" s="101">
        <v>0</v>
      </c>
    </row>
    <row r="83" spans="1:17" ht="15" customHeight="1" x14ac:dyDescent="0.25">
      <c r="A83" s="159" t="s">
        <v>146</v>
      </c>
      <c r="B83" s="162" t="s">
        <v>147</v>
      </c>
      <c r="C83" s="165" t="s">
        <v>4</v>
      </c>
      <c r="D83" s="3" t="s">
        <v>9</v>
      </c>
      <c r="E83" s="97">
        <f>SUM(E84:E87)</f>
        <v>77642.48</v>
      </c>
      <c r="F83" s="97">
        <f t="shared" ref="F83:Q83" si="22">SUM(F84:F87)</f>
        <v>15294.74</v>
      </c>
      <c r="G83" s="97">
        <f t="shared" si="22"/>
        <v>13949.6</v>
      </c>
      <c r="H83" s="97">
        <f t="shared" si="22"/>
        <v>12554.64</v>
      </c>
      <c r="I83" s="97">
        <f t="shared" si="22"/>
        <v>0</v>
      </c>
      <c r="J83" s="97">
        <f t="shared" si="22"/>
        <v>35843.5</v>
      </c>
      <c r="K83" s="97">
        <f t="shared" si="22"/>
        <v>0</v>
      </c>
      <c r="L83" s="97">
        <f t="shared" si="22"/>
        <v>0</v>
      </c>
      <c r="M83" s="97">
        <f t="shared" si="22"/>
        <v>0</v>
      </c>
      <c r="N83" s="97">
        <f t="shared" si="22"/>
        <v>0</v>
      </c>
      <c r="O83" s="97">
        <f t="shared" si="22"/>
        <v>0</v>
      </c>
      <c r="P83" s="97">
        <f t="shared" si="22"/>
        <v>0</v>
      </c>
      <c r="Q83" s="97">
        <f t="shared" si="22"/>
        <v>0</v>
      </c>
    </row>
    <row r="84" spans="1:17" ht="30" x14ac:dyDescent="0.25">
      <c r="A84" s="160"/>
      <c r="B84" s="163"/>
      <c r="C84" s="166"/>
      <c r="D84" s="3" t="s">
        <v>2</v>
      </c>
      <c r="E84" s="97">
        <f>SUM(F84:Q84)</f>
        <v>0</v>
      </c>
      <c r="F84" s="97">
        <v>0</v>
      </c>
      <c r="G84" s="97">
        <v>0</v>
      </c>
      <c r="H84" s="51">
        <v>0</v>
      </c>
      <c r="I84" s="51">
        <v>0</v>
      </c>
      <c r="J84" s="51">
        <v>0</v>
      </c>
      <c r="K84" s="51">
        <v>0</v>
      </c>
      <c r="L84" s="97">
        <v>0</v>
      </c>
      <c r="M84" s="97">
        <v>0</v>
      </c>
      <c r="N84" s="97">
        <v>0</v>
      </c>
      <c r="O84" s="97">
        <v>0</v>
      </c>
      <c r="P84" s="97">
        <v>0</v>
      </c>
      <c r="Q84" s="97">
        <v>0</v>
      </c>
    </row>
    <row r="85" spans="1:17" ht="45" x14ac:dyDescent="0.25">
      <c r="A85" s="160"/>
      <c r="B85" s="163"/>
      <c r="C85" s="166"/>
      <c r="D85" s="3" t="s">
        <v>7</v>
      </c>
      <c r="E85" s="101">
        <f>SUM(F85:Q85)</f>
        <v>0</v>
      </c>
      <c r="F85" s="101">
        <v>0</v>
      </c>
      <c r="G85" s="101">
        <v>0</v>
      </c>
      <c r="H85" s="52">
        <v>0</v>
      </c>
      <c r="I85" s="52">
        <v>0</v>
      </c>
      <c r="J85" s="52">
        <v>0</v>
      </c>
      <c r="K85" s="52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</row>
    <row r="86" spans="1:17" x14ac:dyDescent="0.25">
      <c r="A86" s="160"/>
      <c r="B86" s="163"/>
      <c r="C86" s="166"/>
      <c r="D86" s="3" t="s">
        <v>3</v>
      </c>
      <c r="E86" s="101">
        <f>SUM(F86:Q86)</f>
        <v>77642.48</v>
      </c>
      <c r="F86" s="101">
        <f>307*49.82</f>
        <v>15294.74</v>
      </c>
      <c r="G86" s="101">
        <v>13949.6</v>
      </c>
      <c r="H86" s="52">
        <v>12554.64</v>
      </c>
      <c r="I86" s="52">
        <v>0</v>
      </c>
      <c r="J86" s="52">
        <v>35843.5</v>
      </c>
      <c r="K86" s="52">
        <v>0</v>
      </c>
      <c r="L86" s="101">
        <v>0</v>
      </c>
      <c r="M86" s="101">
        <v>0</v>
      </c>
      <c r="N86" s="101">
        <v>0</v>
      </c>
      <c r="O86" s="101">
        <v>0</v>
      </c>
      <c r="P86" s="101">
        <v>0</v>
      </c>
      <c r="Q86" s="101">
        <v>0</v>
      </c>
    </row>
    <row r="87" spans="1:17" ht="30" x14ac:dyDescent="0.25">
      <c r="A87" s="161"/>
      <c r="B87" s="164"/>
      <c r="C87" s="131"/>
      <c r="D87" s="3" t="s">
        <v>8</v>
      </c>
      <c r="E87" s="101">
        <f>SUM(F87:Q87)</f>
        <v>0</v>
      </c>
      <c r="F87" s="101">
        <v>0</v>
      </c>
      <c r="G87" s="101">
        <v>0</v>
      </c>
      <c r="H87" s="52">
        <v>0</v>
      </c>
      <c r="I87" s="52">
        <v>0</v>
      </c>
      <c r="J87" s="52">
        <v>0</v>
      </c>
      <c r="K87" s="52">
        <v>0</v>
      </c>
      <c r="L87" s="101">
        <v>0</v>
      </c>
      <c r="M87" s="101">
        <v>0</v>
      </c>
      <c r="N87" s="101">
        <v>0</v>
      </c>
      <c r="O87" s="101">
        <v>0</v>
      </c>
      <c r="P87" s="101">
        <v>0</v>
      </c>
      <c r="Q87" s="101">
        <v>0</v>
      </c>
    </row>
    <row r="88" spans="1:17" ht="15" customHeight="1" x14ac:dyDescent="0.25">
      <c r="A88" s="167" t="s">
        <v>148</v>
      </c>
      <c r="B88" s="162" t="s">
        <v>149</v>
      </c>
      <c r="C88" s="165" t="s">
        <v>4</v>
      </c>
      <c r="D88" s="3" t="s">
        <v>9</v>
      </c>
      <c r="E88" s="97">
        <f>SUM(E89:E92)</f>
        <v>3059295.6</v>
      </c>
      <c r="F88" s="97">
        <f t="shared" ref="F88:Q88" si="23">SUM(F89:F92)</f>
        <v>415395.6</v>
      </c>
      <c r="G88" s="97">
        <f t="shared" si="23"/>
        <v>797700</v>
      </c>
      <c r="H88" s="97">
        <f t="shared" si="23"/>
        <v>491400</v>
      </c>
      <c r="I88" s="97">
        <f t="shared" si="23"/>
        <v>723700</v>
      </c>
      <c r="J88" s="97">
        <f t="shared" si="23"/>
        <v>277000</v>
      </c>
      <c r="K88" s="97">
        <f t="shared" si="23"/>
        <v>198900</v>
      </c>
      <c r="L88" s="97">
        <f t="shared" si="23"/>
        <v>155200</v>
      </c>
      <c r="M88" s="97">
        <f t="shared" si="23"/>
        <v>0</v>
      </c>
      <c r="N88" s="97">
        <f t="shared" si="23"/>
        <v>0</v>
      </c>
      <c r="O88" s="97">
        <f t="shared" si="23"/>
        <v>0</v>
      </c>
      <c r="P88" s="97">
        <f t="shared" si="23"/>
        <v>0</v>
      </c>
      <c r="Q88" s="97">
        <f t="shared" si="23"/>
        <v>0</v>
      </c>
    </row>
    <row r="89" spans="1:17" ht="30" x14ac:dyDescent="0.25">
      <c r="A89" s="168"/>
      <c r="B89" s="163"/>
      <c r="C89" s="166"/>
      <c r="D89" s="3" t="s">
        <v>2</v>
      </c>
      <c r="E89" s="97">
        <f>SUM(F89:Q89)</f>
        <v>0</v>
      </c>
      <c r="F89" s="97">
        <v>0</v>
      </c>
      <c r="G89" s="97">
        <v>0</v>
      </c>
      <c r="H89" s="51">
        <v>0</v>
      </c>
      <c r="I89" s="51">
        <v>0</v>
      </c>
      <c r="J89" s="51">
        <v>0</v>
      </c>
      <c r="K89" s="51">
        <v>0</v>
      </c>
      <c r="L89" s="97">
        <v>0</v>
      </c>
      <c r="M89" s="97">
        <v>0</v>
      </c>
      <c r="N89" s="97">
        <v>0</v>
      </c>
      <c r="O89" s="97">
        <v>0</v>
      </c>
      <c r="P89" s="97">
        <v>0</v>
      </c>
      <c r="Q89" s="97">
        <v>0</v>
      </c>
    </row>
    <row r="90" spans="1:17" ht="45" x14ac:dyDescent="0.25">
      <c r="A90" s="168"/>
      <c r="B90" s="163"/>
      <c r="C90" s="166"/>
      <c r="D90" s="3" t="s">
        <v>7</v>
      </c>
      <c r="E90" s="101">
        <f>SUM(F90:Q90)</f>
        <v>2211000</v>
      </c>
      <c r="F90" s="101">
        <f>166100</f>
        <v>166100</v>
      </c>
      <c r="G90" s="101">
        <v>498700</v>
      </c>
      <c r="H90" s="52">
        <v>491400</v>
      </c>
      <c r="I90" s="52">
        <v>423700</v>
      </c>
      <c r="J90" s="52">
        <v>277000</v>
      </c>
      <c r="K90" s="52">
        <v>198900</v>
      </c>
      <c r="L90" s="101">
        <v>155200</v>
      </c>
      <c r="M90" s="101">
        <v>0</v>
      </c>
      <c r="N90" s="101">
        <v>0</v>
      </c>
      <c r="O90" s="101">
        <v>0</v>
      </c>
      <c r="P90" s="101">
        <v>0</v>
      </c>
      <c r="Q90" s="101">
        <v>0</v>
      </c>
    </row>
    <row r="91" spans="1:17" x14ac:dyDescent="0.25">
      <c r="A91" s="168"/>
      <c r="B91" s="163"/>
      <c r="C91" s="166"/>
      <c r="D91" s="3" t="s">
        <v>3</v>
      </c>
      <c r="E91" s="101">
        <f>SUM(F91:Q91)</f>
        <v>848295.6</v>
      </c>
      <c r="F91" s="101">
        <f>250000-704.4</f>
        <v>249295.6</v>
      </c>
      <c r="G91" s="101">
        <v>299000</v>
      </c>
      <c r="H91" s="52">
        <v>0</v>
      </c>
      <c r="I91" s="52">
        <v>300000</v>
      </c>
      <c r="J91" s="52">
        <v>0</v>
      </c>
      <c r="K91" s="52">
        <v>0</v>
      </c>
      <c r="L91" s="101">
        <v>0</v>
      </c>
      <c r="M91" s="101">
        <v>0</v>
      </c>
      <c r="N91" s="101">
        <v>0</v>
      </c>
      <c r="O91" s="101">
        <v>0</v>
      </c>
      <c r="P91" s="101">
        <v>0</v>
      </c>
      <c r="Q91" s="101">
        <v>0</v>
      </c>
    </row>
    <row r="92" spans="1:17" ht="30" x14ac:dyDescent="0.25">
      <c r="A92" s="169"/>
      <c r="B92" s="164"/>
      <c r="C92" s="131"/>
      <c r="D92" s="3" t="s">
        <v>8</v>
      </c>
      <c r="E92" s="101">
        <f>SUM(F92:Q92)</f>
        <v>0</v>
      </c>
      <c r="F92" s="101">
        <v>0</v>
      </c>
      <c r="G92" s="101">
        <v>0</v>
      </c>
      <c r="H92" s="52">
        <v>0</v>
      </c>
      <c r="I92" s="52">
        <v>0</v>
      </c>
      <c r="J92" s="52">
        <v>0</v>
      </c>
      <c r="K92" s="52">
        <v>0</v>
      </c>
      <c r="L92" s="101">
        <v>0</v>
      </c>
      <c r="M92" s="101">
        <v>0</v>
      </c>
      <c r="N92" s="101">
        <v>0</v>
      </c>
      <c r="O92" s="101">
        <v>0</v>
      </c>
      <c r="P92" s="101">
        <v>0</v>
      </c>
      <c r="Q92" s="101">
        <v>0</v>
      </c>
    </row>
    <row r="93" spans="1:17" ht="15" customHeight="1" x14ac:dyDescent="0.25">
      <c r="A93" s="167" t="s">
        <v>150</v>
      </c>
      <c r="B93" s="178" t="s">
        <v>151</v>
      </c>
      <c r="C93" s="171" t="s">
        <v>4</v>
      </c>
      <c r="D93" s="3" t="s">
        <v>9</v>
      </c>
      <c r="E93" s="97">
        <f>SUM(E94:E97)</f>
        <v>7981168.5300000003</v>
      </c>
      <c r="F93" s="97">
        <f t="shared" ref="F93:Q93" si="24">SUM(F94:F97)</f>
        <v>1281643.31</v>
      </c>
      <c r="G93" s="97">
        <f t="shared" si="24"/>
        <v>1368696.28</v>
      </c>
      <c r="H93" s="97">
        <f t="shared" si="24"/>
        <v>1775701.15</v>
      </c>
      <c r="I93" s="97">
        <f t="shared" si="24"/>
        <v>1901326.4</v>
      </c>
      <c r="J93" s="97">
        <f t="shared" si="24"/>
        <v>1653801.39</v>
      </c>
      <c r="K93" s="97">
        <f t="shared" si="24"/>
        <v>0</v>
      </c>
      <c r="L93" s="97">
        <f t="shared" si="24"/>
        <v>0</v>
      </c>
      <c r="M93" s="97">
        <f t="shared" si="24"/>
        <v>0</v>
      </c>
      <c r="N93" s="97">
        <f t="shared" si="24"/>
        <v>0</v>
      </c>
      <c r="O93" s="97">
        <f t="shared" si="24"/>
        <v>0</v>
      </c>
      <c r="P93" s="97">
        <f t="shared" si="24"/>
        <v>0</v>
      </c>
      <c r="Q93" s="97">
        <f t="shared" si="24"/>
        <v>0</v>
      </c>
    </row>
    <row r="94" spans="1:17" ht="30" x14ac:dyDescent="0.25">
      <c r="A94" s="168"/>
      <c r="B94" s="179"/>
      <c r="C94" s="172"/>
      <c r="D94" s="3" t="s">
        <v>2</v>
      </c>
      <c r="E94" s="97">
        <f>SUM(F94:Q94)</f>
        <v>0</v>
      </c>
      <c r="F94" s="97">
        <v>0</v>
      </c>
      <c r="G94" s="97">
        <v>0</v>
      </c>
      <c r="H94" s="51">
        <v>0</v>
      </c>
      <c r="I94" s="51">
        <v>0</v>
      </c>
      <c r="J94" s="51">
        <v>0</v>
      </c>
      <c r="K94" s="51">
        <v>0</v>
      </c>
      <c r="L94" s="97">
        <v>0</v>
      </c>
      <c r="M94" s="97">
        <v>0</v>
      </c>
      <c r="N94" s="97">
        <v>0</v>
      </c>
      <c r="O94" s="97">
        <v>0</v>
      </c>
      <c r="P94" s="97">
        <v>0</v>
      </c>
      <c r="Q94" s="97">
        <v>0</v>
      </c>
    </row>
    <row r="95" spans="1:17" ht="45" x14ac:dyDescent="0.25">
      <c r="A95" s="168"/>
      <c r="B95" s="179"/>
      <c r="C95" s="172"/>
      <c r="D95" s="3" t="s">
        <v>7</v>
      </c>
      <c r="E95" s="101">
        <f>SUM(F95:Q95)</f>
        <v>0</v>
      </c>
      <c r="F95" s="101">
        <v>0</v>
      </c>
      <c r="G95" s="101">
        <v>0</v>
      </c>
      <c r="H95" s="52">
        <v>0</v>
      </c>
      <c r="I95" s="52">
        <v>0</v>
      </c>
      <c r="J95" s="52">
        <v>0</v>
      </c>
      <c r="K95" s="52">
        <v>0</v>
      </c>
      <c r="L95" s="101">
        <v>0</v>
      </c>
      <c r="M95" s="101">
        <v>0</v>
      </c>
      <c r="N95" s="101">
        <v>0</v>
      </c>
      <c r="O95" s="101">
        <v>0</v>
      </c>
      <c r="P95" s="101">
        <v>0</v>
      </c>
      <c r="Q95" s="101">
        <v>0</v>
      </c>
    </row>
    <row r="96" spans="1:17" x14ac:dyDescent="0.25">
      <c r="A96" s="168"/>
      <c r="B96" s="179"/>
      <c r="C96" s="172"/>
      <c r="D96" s="3" t="s">
        <v>3</v>
      </c>
      <c r="E96" s="101">
        <f>SUM(F96:Q96)</f>
        <v>7981168.5300000003</v>
      </c>
      <c r="F96" s="101">
        <f>824900+456743.31</f>
        <v>1281643.31</v>
      </c>
      <c r="G96" s="101">
        <f>1252696.28+116000</f>
        <v>1368696.28</v>
      </c>
      <c r="H96" s="52">
        <v>1775701.15</v>
      </c>
      <c r="I96" s="52">
        <v>1901326.4</v>
      </c>
      <c r="J96" s="52">
        <v>1653801.39</v>
      </c>
      <c r="K96" s="52">
        <v>0</v>
      </c>
      <c r="L96" s="101">
        <v>0</v>
      </c>
      <c r="M96" s="101">
        <v>0</v>
      </c>
      <c r="N96" s="101">
        <v>0</v>
      </c>
      <c r="O96" s="101">
        <v>0</v>
      </c>
      <c r="P96" s="101">
        <v>0</v>
      </c>
      <c r="Q96" s="101">
        <v>0</v>
      </c>
    </row>
    <row r="97" spans="1:17" ht="30" x14ac:dyDescent="0.25">
      <c r="A97" s="169"/>
      <c r="B97" s="180"/>
      <c r="C97" s="173"/>
      <c r="D97" s="3" t="s">
        <v>8</v>
      </c>
      <c r="E97" s="101">
        <f>SUM(F97:Q97)</f>
        <v>0</v>
      </c>
      <c r="F97" s="101">
        <v>0</v>
      </c>
      <c r="G97" s="101">
        <v>0</v>
      </c>
      <c r="H97" s="52">
        <v>0</v>
      </c>
      <c r="I97" s="52">
        <v>0</v>
      </c>
      <c r="J97" s="52">
        <v>0</v>
      </c>
      <c r="K97" s="52">
        <v>0</v>
      </c>
      <c r="L97" s="101">
        <v>0</v>
      </c>
      <c r="M97" s="101">
        <v>0</v>
      </c>
      <c r="N97" s="101">
        <v>0</v>
      </c>
      <c r="O97" s="101">
        <v>0</v>
      </c>
      <c r="P97" s="101">
        <v>0</v>
      </c>
      <c r="Q97" s="101">
        <v>0</v>
      </c>
    </row>
    <row r="98" spans="1:17" ht="15" customHeight="1" x14ac:dyDescent="0.25">
      <c r="A98" s="167" t="s">
        <v>152</v>
      </c>
      <c r="B98" s="162" t="s">
        <v>153</v>
      </c>
      <c r="C98" s="171" t="s">
        <v>5</v>
      </c>
      <c r="D98" s="3" t="s">
        <v>9</v>
      </c>
      <c r="E98" s="97">
        <f>SUM(E99:E102)</f>
        <v>50401054.469999999</v>
      </c>
      <c r="F98" s="97">
        <f t="shared" ref="F98:Q98" si="25">SUM(F99:F102)</f>
        <v>20060400</v>
      </c>
      <c r="G98" s="97">
        <f t="shared" si="25"/>
        <v>2241254.3199999998</v>
      </c>
      <c r="H98" s="97">
        <f t="shared" si="25"/>
        <v>79880.88</v>
      </c>
      <c r="I98" s="97">
        <f t="shared" si="25"/>
        <v>28019519.27</v>
      </c>
      <c r="J98" s="97">
        <f t="shared" si="25"/>
        <v>0</v>
      </c>
      <c r="K98" s="97">
        <f t="shared" si="25"/>
        <v>0</v>
      </c>
      <c r="L98" s="97">
        <f t="shared" si="25"/>
        <v>0</v>
      </c>
      <c r="M98" s="97">
        <f t="shared" si="25"/>
        <v>0</v>
      </c>
      <c r="N98" s="97">
        <f t="shared" si="25"/>
        <v>0</v>
      </c>
      <c r="O98" s="97">
        <f t="shared" si="25"/>
        <v>0</v>
      </c>
      <c r="P98" s="97">
        <f t="shared" si="25"/>
        <v>0</v>
      </c>
      <c r="Q98" s="97">
        <f t="shared" si="25"/>
        <v>0</v>
      </c>
    </row>
    <row r="99" spans="1:17" ht="30" x14ac:dyDescent="0.25">
      <c r="A99" s="168"/>
      <c r="B99" s="163"/>
      <c r="C99" s="172"/>
      <c r="D99" s="3" t="s">
        <v>2</v>
      </c>
      <c r="E99" s="97">
        <f>SUM(F99:Q99)</f>
        <v>0</v>
      </c>
      <c r="F99" s="97">
        <v>0</v>
      </c>
      <c r="G99" s="97">
        <v>0</v>
      </c>
      <c r="H99" s="51">
        <v>0</v>
      </c>
      <c r="I99" s="51">
        <v>0</v>
      </c>
      <c r="J99" s="51">
        <v>0</v>
      </c>
      <c r="K99" s="51">
        <v>0</v>
      </c>
      <c r="L99" s="97">
        <v>0</v>
      </c>
      <c r="M99" s="97">
        <v>0</v>
      </c>
      <c r="N99" s="97">
        <v>0</v>
      </c>
      <c r="O99" s="97">
        <v>0</v>
      </c>
      <c r="P99" s="97">
        <v>0</v>
      </c>
      <c r="Q99" s="97">
        <v>0</v>
      </c>
    </row>
    <row r="100" spans="1:17" ht="45" x14ac:dyDescent="0.25">
      <c r="A100" s="168"/>
      <c r="B100" s="163"/>
      <c r="C100" s="172"/>
      <c r="D100" s="3" t="s">
        <v>7</v>
      </c>
      <c r="E100" s="101">
        <f>SUM(F100:Q100)</f>
        <v>0</v>
      </c>
      <c r="F100" s="101">
        <v>0</v>
      </c>
      <c r="G100" s="101">
        <v>0</v>
      </c>
      <c r="H100" s="52">
        <v>0</v>
      </c>
      <c r="I100" s="52">
        <v>0</v>
      </c>
      <c r="J100" s="52">
        <v>0</v>
      </c>
      <c r="K100" s="52">
        <v>0</v>
      </c>
      <c r="L100" s="101">
        <v>0</v>
      </c>
      <c r="M100" s="101">
        <v>0</v>
      </c>
      <c r="N100" s="101">
        <v>0</v>
      </c>
      <c r="O100" s="101">
        <v>0</v>
      </c>
      <c r="P100" s="101">
        <v>0</v>
      </c>
      <c r="Q100" s="101">
        <v>0</v>
      </c>
    </row>
    <row r="101" spans="1:17" x14ac:dyDescent="0.25">
      <c r="A101" s="168"/>
      <c r="B101" s="163"/>
      <c r="C101" s="172"/>
      <c r="D101" s="3" t="s">
        <v>3</v>
      </c>
      <c r="E101" s="101">
        <f>SUM(F101:Q101)</f>
        <v>50401054.469999999</v>
      </c>
      <c r="F101" s="101">
        <v>20060400</v>
      </c>
      <c r="G101" s="101">
        <v>2241254.3199999998</v>
      </c>
      <c r="H101" s="52">
        <f>64330.88+15550</f>
        <v>79880.88</v>
      </c>
      <c r="I101" s="52">
        <v>28019519.27</v>
      </c>
      <c r="J101" s="52">
        <v>0</v>
      </c>
      <c r="K101" s="52">
        <v>0</v>
      </c>
      <c r="L101" s="101">
        <v>0</v>
      </c>
      <c r="M101" s="101">
        <v>0</v>
      </c>
      <c r="N101" s="101">
        <v>0</v>
      </c>
      <c r="O101" s="101">
        <v>0</v>
      </c>
      <c r="P101" s="101">
        <v>0</v>
      </c>
      <c r="Q101" s="101">
        <v>0</v>
      </c>
    </row>
    <row r="102" spans="1:17" ht="30" x14ac:dyDescent="0.25">
      <c r="A102" s="169"/>
      <c r="B102" s="164"/>
      <c r="C102" s="173"/>
      <c r="D102" s="3" t="s">
        <v>8</v>
      </c>
      <c r="E102" s="101">
        <f>SUM(F102:Q102)</f>
        <v>0</v>
      </c>
      <c r="F102" s="101">
        <v>0</v>
      </c>
      <c r="G102" s="101">
        <v>0</v>
      </c>
      <c r="H102" s="52">
        <v>0</v>
      </c>
      <c r="I102" s="52">
        <v>0</v>
      </c>
      <c r="J102" s="52">
        <v>0</v>
      </c>
      <c r="K102" s="52">
        <v>0</v>
      </c>
      <c r="L102" s="101">
        <v>0</v>
      </c>
      <c r="M102" s="101">
        <v>0</v>
      </c>
      <c r="N102" s="101">
        <v>0</v>
      </c>
      <c r="O102" s="101">
        <v>0</v>
      </c>
      <c r="P102" s="101">
        <v>0</v>
      </c>
      <c r="Q102" s="101">
        <v>0</v>
      </c>
    </row>
    <row r="103" spans="1:17" ht="15" customHeight="1" x14ac:dyDescent="0.25">
      <c r="A103" s="167" t="s">
        <v>154</v>
      </c>
      <c r="B103" s="162" t="s">
        <v>155</v>
      </c>
      <c r="C103" s="171" t="s">
        <v>5</v>
      </c>
      <c r="D103" s="3" t="s">
        <v>9</v>
      </c>
      <c r="E103" s="97">
        <f>SUM(E104:E107)</f>
        <v>1367000</v>
      </c>
      <c r="F103" s="97">
        <f t="shared" ref="F103:Q103" si="26">SUM(F104:F107)</f>
        <v>607000</v>
      </c>
      <c r="G103" s="97">
        <f t="shared" si="26"/>
        <v>0</v>
      </c>
      <c r="H103" s="97">
        <f t="shared" si="26"/>
        <v>400000</v>
      </c>
      <c r="I103" s="97">
        <f t="shared" si="26"/>
        <v>360000</v>
      </c>
      <c r="J103" s="97">
        <f t="shared" si="26"/>
        <v>0</v>
      </c>
      <c r="K103" s="97">
        <f t="shared" si="26"/>
        <v>0</v>
      </c>
      <c r="L103" s="97">
        <f t="shared" si="26"/>
        <v>0</v>
      </c>
      <c r="M103" s="97">
        <f t="shared" si="26"/>
        <v>0</v>
      </c>
      <c r="N103" s="97">
        <f t="shared" si="26"/>
        <v>0</v>
      </c>
      <c r="O103" s="97">
        <f t="shared" si="26"/>
        <v>0</v>
      </c>
      <c r="P103" s="97">
        <f t="shared" si="26"/>
        <v>0</v>
      </c>
      <c r="Q103" s="97">
        <f t="shared" si="26"/>
        <v>0</v>
      </c>
    </row>
    <row r="104" spans="1:17" ht="30" x14ac:dyDescent="0.25">
      <c r="A104" s="168"/>
      <c r="B104" s="163"/>
      <c r="C104" s="172"/>
      <c r="D104" s="3" t="s">
        <v>2</v>
      </c>
      <c r="E104" s="97">
        <f>SUM(F104:Q104)</f>
        <v>0</v>
      </c>
      <c r="F104" s="97">
        <v>0</v>
      </c>
      <c r="G104" s="97">
        <v>0</v>
      </c>
      <c r="H104" s="51">
        <v>0</v>
      </c>
      <c r="I104" s="51">
        <v>0</v>
      </c>
      <c r="J104" s="51">
        <v>0</v>
      </c>
      <c r="K104" s="51">
        <v>0</v>
      </c>
      <c r="L104" s="97">
        <v>0</v>
      </c>
      <c r="M104" s="97">
        <v>0</v>
      </c>
      <c r="N104" s="97">
        <v>0</v>
      </c>
      <c r="O104" s="97">
        <v>0</v>
      </c>
      <c r="P104" s="97">
        <v>0</v>
      </c>
      <c r="Q104" s="97">
        <v>0</v>
      </c>
    </row>
    <row r="105" spans="1:17" ht="45" x14ac:dyDescent="0.25">
      <c r="A105" s="168"/>
      <c r="B105" s="163"/>
      <c r="C105" s="172"/>
      <c r="D105" s="3" t="s">
        <v>7</v>
      </c>
      <c r="E105" s="101">
        <f>SUM(F105:Q105)</f>
        <v>607000</v>
      </c>
      <c r="F105" s="101">
        <f>378000+229000</f>
        <v>607000</v>
      </c>
      <c r="G105" s="101">
        <v>0</v>
      </c>
      <c r="H105" s="52">
        <v>0</v>
      </c>
      <c r="I105" s="52">
        <v>0</v>
      </c>
      <c r="J105" s="52">
        <v>0</v>
      </c>
      <c r="K105" s="52">
        <v>0</v>
      </c>
      <c r="L105" s="101">
        <v>0</v>
      </c>
      <c r="M105" s="101">
        <v>0</v>
      </c>
      <c r="N105" s="101">
        <v>0</v>
      </c>
      <c r="O105" s="101">
        <v>0</v>
      </c>
      <c r="P105" s="101">
        <v>0</v>
      </c>
      <c r="Q105" s="101">
        <v>0</v>
      </c>
    </row>
    <row r="106" spans="1:17" x14ac:dyDescent="0.25">
      <c r="A106" s="168"/>
      <c r="B106" s="163"/>
      <c r="C106" s="172"/>
      <c r="D106" s="3" t="s">
        <v>3</v>
      </c>
      <c r="E106" s="101">
        <f>SUM(F106:Q106)</f>
        <v>760000</v>
      </c>
      <c r="F106" s="101">
        <v>0</v>
      </c>
      <c r="G106" s="101">
        <v>0</v>
      </c>
      <c r="H106" s="52">
        <v>400000</v>
      </c>
      <c r="I106" s="101">
        <v>360000</v>
      </c>
      <c r="J106" s="52">
        <v>0</v>
      </c>
      <c r="K106" s="52">
        <v>0</v>
      </c>
      <c r="L106" s="101">
        <v>0</v>
      </c>
      <c r="M106" s="101">
        <v>0</v>
      </c>
      <c r="N106" s="101">
        <v>0</v>
      </c>
      <c r="O106" s="101">
        <v>0</v>
      </c>
      <c r="P106" s="101">
        <v>0</v>
      </c>
      <c r="Q106" s="101">
        <v>0</v>
      </c>
    </row>
    <row r="107" spans="1:17" ht="30" x14ac:dyDescent="0.25">
      <c r="A107" s="169"/>
      <c r="B107" s="164"/>
      <c r="C107" s="173"/>
      <c r="D107" s="3" t="s">
        <v>8</v>
      </c>
      <c r="E107" s="101">
        <f>SUM(F107:Q107)</f>
        <v>0</v>
      </c>
      <c r="F107" s="101">
        <v>0</v>
      </c>
      <c r="G107" s="101">
        <v>0</v>
      </c>
      <c r="H107" s="52">
        <v>0</v>
      </c>
      <c r="I107" s="52">
        <v>0</v>
      </c>
      <c r="J107" s="52">
        <v>0</v>
      </c>
      <c r="K107" s="52">
        <v>0</v>
      </c>
      <c r="L107" s="101">
        <v>0</v>
      </c>
      <c r="M107" s="101">
        <v>0</v>
      </c>
      <c r="N107" s="101">
        <v>0</v>
      </c>
      <c r="O107" s="101">
        <v>0</v>
      </c>
      <c r="P107" s="101">
        <v>0</v>
      </c>
      <c r="Q107" s="101">
        <v>0</v>
      </c>
    </row>
    <row r="108" spans="1:17" ht="15" customHeight="1" x14ac:dyDescent="0.25">
      <c r="A108" s="175" t="s">
        <v>156</v>
      </c>
      <c r="B108" s="176" t="s">
        <v>157</v>
      </c>
      <c r="C108" s="177" t="s">
        <v>158</v>
      </c>
      <c r="D108" s="3" t="s">
        <v>9</v>
      </c>
      <c r="E108" s="97">
        <f>SUM(E109:E112)</f>
        <v>249777.78</v>
      </c>
      <c r="F108" s="97">
        <f t="shared" ref="F108:Q108" si="27">SUM(F109:F112)</f>
        <v>249777.78</v>
      </c>
      <c r="G108" s="97">
        <f t="shared" si="27"/>
        <v>0</v>
      </c>
      <c r="H108" s="97">
        <f t="shared" si="27"/>
        <v>0</v>
      </c>
      <c r="I108" s="97">
        <f t="shared" si="27"/>
        <v>0</v>
      </c>
      <c r="J108" s="97">
        <f t="shared" si="27"/>
        <v>0</v>
      </c>
      <c r="K108" s="97">
        <f t="shared" si="27"/>
        <v>0</v>
      </c>
      <c r="L108" s="97">
        <f t="shared" si="27"/>
        <v>0</v>
      </c>
      <c r="M108" s="97">
        <f t="shared" si="27"/>
        <v>0</v>
      </c>
      <c r="N108" s="97">
        <f t="shared" si="27"/>
        <v>0</v>
      </c>
      <c r="O108" s="97">
        <f t="shared" si="27"/>
        <v>0</v>
      </c>
      <c r="P108" s="97">
        <f t="shared" si="27"/>
        <v>0</v>
      </c>
      <c r="Q108" s="97">
        <f t="shared" si="27"/>
        <v>0</v>
      </c>
    </row>
    <row r="109" spans="1:17" ht="30" x14ac:dyDescent="0.25">
      <c r="A109" s="175"/>
      <c r="B109" s="176"/>
      <c r="C109" s="177"/>
      <c r="D109" s="3" t="s">
        <v>2</v>
      </c>
      <c r="E109" s="97">
        <f>SUM(F109:Q109)</f>
        <v>0</v>
      </c>
      <c r="F109" s="97">
        <v>0</v>
      </c>
      <c r="G109" s="97">
        <v>0</v>
      </c>
      <c r="H109" s="51">
        <v>0</v>
      </c>
      <c r="I109" s="51">
        <v>0</v>
      </c>
      <c r="J109" s="51">
        <v>0</v>
      </c>
      <c r="K109" s="51">
        <v>0</v>
      </c>
      <c r="L109" s="97">
        <v>0</v>
      </c>
      <c r="M109" s="97">
        <v>0</v>
      </c>
      <c r="N109" s="97">
        <v>0</v>
      </c>
      <c r="O109" s="97">
        <v>0</v>
      </c>
      <c r="P109" s="97">
        <v>0</v>
      </c>
      <c r="Q109" s="97">
        <v>0</v>
      </c>
    </row>
    <row r="110" spans="1:17" ht="45" x14ac:dyDescent="0.25">
      <c r="A110" s="175"/>
      <c r="B110" s="176"/>
      <c r="C110" s="177"/>
      <c r="D110" s="3" t="s">
        <v>7</v>
      </c>
      <c r="E110" s="101">
        <f>SUM(F110:Q110)</f>
        <v>0</v>
      </c>
      <c r="F110" s="101">
        <v>0</v>
      </c>
      <c r="G110" s="101">
        <v>0</v>
      </c>
      <c r="H110" s="52">
        <v>0</v>
      </c>
      <c r="I110" s="52">
        <v>0</v>
      </c>
      <c r="J110" s="52">
        <v>0</v>
      </c>
      <c r="K110" s="52">
        <v>0</v>
      </c>
      <c r="L110" s="101">
        <v>0</v>
      </c>
      <c r="M110" s="101">
        <v>0</v>
      </c>
      <c r="N110" s="101">
        <v>0</v>
      </c>
      <c r="O110" s="101">
        <v>0</v>
      </c>
      <c r="P110" s="101">
        <v>0</v>
      </c>
      <c r="Q110" s="101">
        <v>0</v>
      </c>
    </row>
    <row r="111" spans="1:17" x14ac:dyDescent="0.25">
      <c r="A111" s="175"/>
      <c r="B111" s="176"/>
      <c r="C111" s="177"/>
      <c r="D111" s="3" t="s">
        <v>3</v>
      </c>
      <c r="E111" s="101">
        <f>SUM(F111:Q111)</f>
        <v>249777.78</v>
      </c>
      <c r="F111" s="101">
        <f>254333.34-4555.56</f>
        <v>249777.78</v>
      </c>
      <c r="G111" s="101">
        <v>0</v>
      </c>
      <c r="H111" s="52">
        <v>0</v>
      </c>
      <c r="I111" s="52">
        <v>0</v>
      </c>
      <c r="J111" s="52">
        <v>0</v>
      </c>
      <c r="K111" s="52">
        <v>0</v>
      </c>
      <c r="L111" s="101">
        <v>0</v>
      </c>
      <c r="M111" s="101">
        <v>0</v>
      </c>
      <c r="N111" s="101">
        <v>0</v>
      </c>
      <c r="O111" s="101">
        <v>0</v>
      </c>
      <c r="P111" s="101">
        <v>0</v>
      </c>
      <c r="Q111" s="101">
        <v>0</v>
      </c>
    </row>
    <row r="112" spans="1:17" ht="30" x14ac:dyDescent="0.25">
      <c r="A112" s="175"/>
      <c r="B112" s="176"/>
      <c r="C112" s="177"/>
      <c r="D112" s="3" t="s">
        <v>8</v>
      </c>
      <c r="E112" s="101">
        <f>SUM(F112:Q112)</f>
        <v>0</v>
      </c>
      <c r="F112" s="101">
        <v>0</v>
      </c>
      <c r="G112" s="101">
        <v>0</v>
      </c>
      <c r="H112" s="52">
        <v>0</v>
      </c>
      <c r="I112" s="52">
        <v>0</v>
      </c>
      <c r="J112" s="52">
        <v>0</v>
      </c>
      <c r="K112" s="52">
        <v>0</v>
      </c>
      <c r="L112" s="101">
        <v>0</v>
      </c>
      <c r="M112" s="101">
        <v>0</v>
      </c>
      <c r="N112" s="101">
        <v>0</v>
      </c>
      <c r="O112" s="101">
        <v>0</v>
      </c>
      <c r="P112" s="101">
        <v>0</v>
      </c>
      <c r="Q112" s="101">
        <v>0</v>
      </c>
    </row>
    <row r="113" spans="1:17" ht="15" customHeight="1" x14ac:dyDescent="0.25">
      <c r="A113" s="159" t="s">
        <v>159</v>
      </c>
      <c r="B113" s="162" t="s">
        <v>160</v>
      </c>
      <c r="C113" s="165" t="s">
        <v>4</v>
      </c>
      <c r="D113" s="3" t="s">
        <v>9</v>
      </c>
      <c r="E113" s="97">
        <f>SUM(E114:E117)</f>
        <v>300000</v>
      </c>
      <c r="F113" s="97">
        <f t="shared" ref="F113:Q113" si="28">SUM(F114:F117)</f>
        <v>300000</v>
      </c>
      <c r="G113" s="97">
        <f t="shared" si="28"/>
        <v>0</v>
      </c>
      <c r="H113" s="97">
        <f t="shared" si="28"/>
        <v>0</v>
      </c>
      <c r="I113" s="97">
        <f t="shared" si="28"/>
        <v>0</v>
      </c>
      <c r="J113" s="97">
        <f t="shared" si="28"/>
        <v>0</v>
      </c>
      <c r="K113" s="97">
        <f t="shared" si="28"/>
        <v>0</v>
      </c>
      <c r="L113" s="97">
        <f t="shared" si="28"/>
        <v>0</v>
      </c>
      <c r="M113" s="97">
        <f t="shared" si="28"/>
        <v>0</v>
      </c>
      <c r="N113" s="97">
        <f t="shared" si="28"/>
        <v>0</v>
      </c>
      <c r="O113" s="97">
        <f t="shared" si="28"/>
        <v>0</v>
      </c>
      <c r="P113" s="97">
        <f t="shared" si="28"/>
        <v>0</v>
      </c>
      <c r="Q113" s="97">
        <f t="shared" si="28"/>
        <v>0</v>
      </c>
    </row>
    <row r="114" spans="1:17" ht="30" x14ac:dyDescent="0.25">
      <c r="A114" s="160"/>
      <c r="B114" s="163"/>
      <c r="C114" s="166"/>
      <c r="D114" s="3" t="s">
        <v>2</v>
      </c>
      <c r="E114" s="97">
        <f>SUM(F114:Q114)</f>
        <v>0</v>
      </c>
      <c r="F114" s="97">
        <v>0</v>
      </c>
      <c r="G114" s="97">
        <v>0</v>
      </c>
      <c r="H114" s="51">
        <v>0</v>
      </c>
      <c r="I114" s="51">
        <v>0</v>
      </c>
      <c r="J114" s="51">
        <v>0</v>
      </c>
      <c r="K114" s="51">
        <v>0</v>
      </c>
      <c r="L114" s="97">
        <v>0</v>
      </c>
      <c r="M114" s="97">
        <v>0</v>
      </c>
      <c r="N114" s="97">
        <v>0</v>
      </c>
      <c r="O114" s="97">
        <v>0</v>
      </c>
      <c r="P114" s="97">
        <v>0</v>
      </c>
      <c r="Q114" s="97">
        <v>0</v>
      </c>
    </row>
    <row r="115" spans="1:17" ht="45" x14ac:dyDescent="0.25">
      <c r="A115" s="160"/>
      <c r="B115" s="163"/>
      <c r="C115" s="166"/>
      <c r="D115" s="3" t="s">
        <v>7</v>
      </c>
      <c r="E115" s="101">
        <f>SUM(F115:Q115)</f>
        <v>0</v>
      </c>
      <c r="F115" s="101">
        <v>0</v>
      </c>
      <c r="G115" s="101">
        <v>0</v>
      </c>
      <c r="H115" s="52">
        <v>0</v>
      </c>
      <c r="I115" s="52">
        <v>0</v>
      </c>
      <c r="J115" s="52">
        <v>0</v>
      </c>
      <c r="K115" s="52">
        <v>0</v>
      </c>
      <c r="L115" s="101">
        <v>0</v>
      </c>
      <c r="M115" s="101">
        <v>0</v>
      </c>
      <c r="N115" s="101">
        <v>0</v>
      </c>
      <c r="O115" s="101">
        <v>0</v>
      </c>
      <c r="P115" s="101">
        <v>0</v>
      </c>
      <c r="Q115" s="101">
        <v>0</v>
      </c>
    </row>
    <row r="116" spans="1:17" x14ac:dyDescent="0.25">
      <c r="A116" s="160"/>
      <c r="B116" s="163"/>
      <c r="C116" s="166"/>
      <c r="D116" s="3" t="s">
        <v>3</v>
      </c>
      <c r="E116" s="101">
        <f>SUM(F116:Q116)</f>
        <v>300000</v>
      </c>
      <c r="F116" s="101">
        <v>300000</v>
      </c>
      <c r="G116" s="101">
        <v>0</v>
      </c>
      <c r="H116" s="52">
        <v>0</v>
      </c>
      <c r="I116" s="52">
        <v>0</v>
      </c>
      <c r="J116" s="52">
        <v>0</v>
      </c>
      <c r="K116" s="52">
        <v>0</v>
      </c>
      <c r="L116" s="101">
        <v>0</v>
      </c>
      <c r="M116" s="101">
        <v>0</v>
      </c>
      <c r="N116" s="101">
        <v>0</v>
      </c>
      <c r="O116" s="101">
        <v>0</v>
      </c>
      <c r="P116" s="101">
        <v>0</v>
      </c>
      <c r="Q116" s="101">
        <v>0</v>
      </c>
    </row>
    <row r="117" spans="1:17" ht="30" x14ac:dyDescent="0.25">
      <c r="A117" s="161"/>
      <c r="B117" s="164"/>
      <c r="C117" s="131"/>
      <c r="D117" s="3" t="s">
        <v>8</v>
      </c>
      <c r="E117" s="101">
        <f>SUM(F117:Q117)</f>
        <v>0</v>
      </c>
      <c r="F117" s="101">
        <v>0</v>
      </c>
      <c r="G117" s="101">
        <v>0</v>
      </c>
      <c r="H117" s="52">
        <v>0</v>
      </c>
      <c r="I117" s="52">
        <v>0</v>
      </c>
      <c r="J117" s="52">
        <v>0</v>
      </c>
      <c r="K117" s="52">
        <v>0</v>
      </c>
      <c r="L117" s="101">
        <v>0</v>
      </c>
      <c r="M117" s="101">
        <v>0</v>
      </c>
      <c r="N117" s="101">
        <v>0</v>
      </c>
      <c r="O117" s="101">
        <v>0</v>
      </c>
      <c r="P117" s="101">
        <v>0</v>
      </c>
      <c r="Q117" s="101">
        <v>0</v>
      </c>
    </row>
    <row r="118" spans="1:17" ht="15" customHeight="1" x14ac:dyDescent="0.25">
      <c r="A118" s="159" t="s">
        <v>161</v>
      </c>
      <c r="B118" s="162" t="s">
        <v>162</v>
      </c>
      <c r="C118" s="165" t="s">
        <v>5</v>
      </c>
      <c r="D118" s="3" t="s">
        <v>9</v>
      </c>
      <c r="E118" s="101">
        <f>SUM(E119:E122)</f>
        <v>879998.15</v>
      </c>
      <c r="F118" s="101">
        <f t="shared" ref="F118:Q118" si="29">SUM(F119:F122)</f>
        <v>0</v>
      </c>
      <c r="G118" s="101">
        <f t="shared" si="29"/>
        <v>0</v>
      </c>
      <c r="H118" s="101">
        <f t="shared" si="29"/>
        <v>399998.15</v>
      </c>
      <c r="I118" s="101">
        <f t="shared" si="29"/>
        <v>480000</v>
      </c>
      <c r="J118" s="101">
        <f t="shared" si="29"/>
        <v>0</v>
      </c>
      <c r="K118" s="101">
        <f t="shared" si="29"/>
        <v>0</v>
      </c>
      <c r="L118" s="101">
        <f t="shared" si="29"/>
        <v>0</v>
      </c>
      <c r="M118" s="101">
        <f t="shared" si="29"/>
        <v>0</v>
      </c>
      <c r="N118" s="101">
        <f t="shared" si="29"/>
        <v>0</v>
      </c>
      <c r="O118" s="101">
        <f t="shared" si="29"/>
        <v>0</v>
      </c>
      <c r="P118" s="101">
        <f t="shared" si="29"/>
        <v>0</v>
      </c>
      <c r="Q118" s="101">
        <f t="shared" si="29"/>
        <v>0</v>
      </c>
    </row>
    <row r="119" spans="1:17" ht="30" x14ac:dyDescent="0.25">
      <c r="A119" s="160"/>
      <c r="B119" s="163"/>
      <c r="C119" s="166"/>
      <c r="D119" s="3" t="s">
        <v>2</v>
      </c>
      <c r="E119" s="101">
        <f>SUM(F119:Q119)</f>
        <v>0</v>
      </c>
      <c r="F119" s="101">
        <v>0</v>
      </c>
      <c r="G119" s="101">
        <v>0</v>
      </c>
      <c r="H119" s="52">
        <v>0</v>
      </c>
      <c r="I119" s="52">
        <v>0</v>
      </c>
      <c r="J119" s="52">
        <v>0</v>
      </c>
      <c r="K119" s="52">
        <v>0</v>
      </c>
      <c r="L119" s="101">
        <v>0</v>
      </c>
      <c r="M119" s="101">
        <v>0</v>
      </c>
      <c r="N119" s="101">
        <v>0</v>
      </c>
      <c r="O119" s="101">
        <v>0</v>
      </c>
      <c r="P119" s="101">
        <v>0</v>
      </c>
      <c r="Q119" s="101">
        <v>0</v>
      </c>
    </row>
    <row r="120" spans="1:17" ht="45" x14ac:dyDescent="0.25">
      <c r="A120" s="160"/>
      <c r="B120" s="163"/>
      <c r="C120" s="166"/>
      <c r="D120" s="3" t="s">
        <v>7</v>
      </c>
      <c r="E120" s="101">
        <f>SUM(F120:Q120)</f>
        <v>0</v>
      </c>
      <c r="F120" s="101">
        <v>0</v>
      </c>
      <c r="G120" s="101">
        <v>0</v>
      </c>
      <c r="H120" s="52">
        <v>0</v>
      </c>
      <c r="I120" s="52">
        <v>0</v>
      </c>
      <c r="J120" s="52">
        <v>0</v>
      </c>
      <c r="K120" s="52">
        <v>0</v>
      </c>
      <c r="L120" s="101">
        <v>0</v>
      </c>
      <c r="M120" s="101">
        <v>0</v>
      </c>
      <c r="N120" s="101">
        <v>0</v>
      </c>
      <c r="O120" s="101">
        <v>0</v>
      </c>
      <c r="P120" s="101">
        <v>0</v>
      </c>
      <c r="Q120" s="101">
        <v>0</v>
      </c>
    </row>
    <row r="121" spans="1:17" x14ac:dyDescent="0.25">
      <c r="A121" s="160"/>
      <c r="B121" s="163"/>
      <c r="C121" s="166"/>
      <c r="D121" s="3" t="s">
        <v>3</v>
      </c>
      <c r="E121" s="101">
        <f>SUM(F121:Q121)</f>
        <v>879998.15</v>
      </c>
      <c r="F121" s="101">
        <v>0</v>
      </c>
      <c r="G121" s="101">
        <v>0</v>
      </c>
      <c r="H121" s="52">
        <f>158196.98+241801.17</f>
        <v>399998.15</v>
      </c>
      <c r="I121" s="52">
        <v>480000</v>
      </c>
      <c r="J121" s="52">
        <v>0</v>
      </c>
      <c r="K121" s="52">
        <v>0</v>
      </c>
      <c r="L121" s="101">
        <v>0</v>
      </c>
      <c r="M121" s="101">
        <v>0</v>
      </c>
      <c r="N121" s="101">
        <v>0</v>
      </c>
      <c r="O121" s="101">
        <v>0</v>
      </c>
      <c r="P121" s="101">
        <v>0</v>
      </c>
      <c r="Q121" s="101">
        <v>0</v>
      </c>
    </row>
    <row r="122" spans="1:17" ht="30" x14ac:dyDescent="0.25">
      <c r="A122" s="161"/>
      <c r="B122" s="164"/>
      <c r="C122" s="131"/>
      <c r="D122" s="3" t="s">
        <v>8</v>
      </c>
      <c r="E122" s="101">
        <f>SUM(F122:Q122)</f>
        <v>0</v>
      </c>
      <c r="F122" s="101">
        <v>0</v>
      </c>
      <c r="G122" s="101">
        <v>0</v>
      </c>
      <c r="H122" s="52">
        <v>0</v>
      </c>
      <c r="I122" s="52">
        <v>0</v>
      </c>
      <c r="J122" s="52">
        <v>0</v>
      </c>
      <c r="K122" s="52">
        <v>0</v>
      </c>
      <c r="L122" s="101">
        <v>0</v>
      </c>
      <c r="M122" s="101">
        <v>0</v>
      </c>
      <c r="N122" s="101">
        <v>0</v>
      </c>
      <c r="O122" s="101">
        <v>0</v>
      </c>
      <c r="P122" s="101">
        <v>0</v>
      </c>
      <c r="Q122" s="101">
        <v>0</v>
      </c>
    </row>
    <row r="123" spans="1:17" x14ac:dyDescent="0.25">
      <c r="A123" s="167"/>
      <c r="B123" s="170" t="s">
        <v>163</v>
      </c>
      <c r="C123" s="171"/>
      <c r="D123" s="3" t="s">
        <v>9</v>
      </c>
      <c r="E123" s="97">
        <f>SUM(E124:E127)</f>
        <v>143739676.47</v>
      </c>
      <c r="F123" s="97">
        <f>SUM(F124:F127)</f>
        <v>32304152.160000004</v>
      </c>
      <c r="G123" s="97">
        <f t="shared" ref="G123:Q123" si="30">SUM(G124:G127)</f>
        <v>14932809.33</v>
      </c>
      <c r="H123" s="97">
        <f t="shared" si="30"/>
        <v>14248841.840000002</v>
      </c>
      <c r="I123" s="97">
        <f t="shared" si="30"/>
        <v>43546348.82</v>
      </c>
      <c r="J123" s="97">
        <f t="shared" si="30"/>
        <v>16174590.140000001</v>
      </c>
      <c r="K123" s="97">
        <f t="shared" si="30"/>
        <v>11288317.09</v>
      </c>
      <c r="L123" s="97">
        <f t="shared" si="30"/>
        <v>11244617.09</v>
      </c>
      <c r="M123" s="97">
        <f t="shared" si="30"/>
        <v>0</v>
      </c>
      <c r="N123" s="97">
        <f t="shared" si="30"/>
        <v>0</v>
      </c>
      <c r="O123" s="97">
        <f t="shared" si="30"/>
        <v>0</v>
      </c>
      <c r="P123" s="97">
        <f t="shared" si="30"/>
        <v>0</v>
      </c>
      <c r="Q123" s="97">
        <f t="shared" si="30"/>
        <v>0</v>
      </c>
    </row>
    <row r="124" spans="1:17" ht="30" x14ac:dyDescent="0.25">
      <c r="A124" s="168"/>
      <c r="B124" s="124"/>
      <c r="C124" s="172"/>
      <c r="D124" s="3" t="s">
        <v>2</v>
      </c>
      <c r="E124" s="97">
        <f>SUM(F124:Q124)</f>
        <v>0</v>
      </c>
      <c r="F124" s="97">
        <v>0</v>
      </c>
      <c r="G124" s="97">
        <v>0</v>
      </c>
      <c r="H124" s="51">
        <v>0</v>
      </c>
      <c r="I124" s="51">
        <v>0</v>
      </c>
      <c r="J124" s="51">
        <v>0</v>
      </c>
      <c r="K124" s="52">
        <v>0</v>
      </c>
      <c r="L124" s="101">
        <v>0</v>
      </c>
      <c r="M124" s="101">
        <v>0</v>
      </c>
      <c r="N124" s="101">
        <v>0</v>
      </c>
      <c r="O124" s="101">
        <v>0</v>
      </c>
      <c r="P124" s="101">
        <v>0</v>
      </c>
      <c r="Q124" s="101">
        <v>0</v>
      </c>
    </row>
    <row r="125" spans="1:17" ht="45" x14ac:dyDescent="0.25">
      <c r="A125" s="168"/>
      <c r="B125" s="124"/>
      <c r="C125" s="172"/>
      <c r="D125" s="3" t="s">
        <v>7</v>
      </c>
      <c r="E125" s="101">
        <f>SUM(F125:Q125)</f>
        <v>2818000</v>
      </c>
      <c r="F125" s="101">
        <f>F75+F80+F85+F90+F95+F100+F105+F110+F115+F120</f>
        <v>773100</v>
      </c>
      <c r="G125" s="101">
        <f t="shared" ref="F125:Q127" si="31">G75+G80+G85+G90+G95+G100+G105+G110+G115+G120</f>
        <v>498700</v>
      </c>
      <c r="H125" s="52">
        <f t="shared" si="31"/>
        <v>491400</v>
      </c>
      <c r="I125" s="52">
        <f t="shared" si="31"/>
        <v>423700</v>
      </c>
      <c r="J125" s="52">
        <f t="shared" si="31"/>
        <v>277000</v>
      </c>
      <c r="K125" s="52">
        <f t="shared" si="31"/>
        <v>198900</v>
      </c>
      <c r="L125" s="101">
        <f t="shared" si="31"/>
        <v>155200</v>
      </c>
      <c r="M125" s="101">
        <f t="shared" si="31"/>
        <v>0</v>
      </c>
      <c r="N125" s="101">
        <f t="shared" si="31"/>
        <v>0</v>
      </c>
      <c r="O125" s="101">
        <f t="shared" si="31"/>
        <v>0</v>
      </c>
      <c r="P125" s="101">
        <f t="shared" si="31"/>
        <v>0</v>
      </c>
      <c r="Q125" s="101">
        <f t="shared" si="31"/>
        <v>0</v>
      </c>
    </row>
    <row r="126" spans="1:17" x14ac:dyDescent="0.25">
      <c r="A126" s="168"/>
      <c r="B126" s="124"/>
      <c r="C126" s="172"/>
      <c r="D126" s="3" t="s">
        <v>3</v>
      </c>
      <c r="E126" s="101">
        <f>SUM(F126:Q126)</f>
        <v>140921676.47</v>
      </c>
      <c r="F126" s="101">
        <f t="shared" si="31"/>
        <v>31531052.160000004</v>
      </c>
      <c r="G126" s="101">
        <f t="shared" si="31"/>
        <v>14434109.33</v>
      </c>
      <c r="H126" s="52">
        <f t="shared" si="31"/>
        <v>13757441.840000002</v>
      </c>
      <c r="I126" s="52">
        <f t="shared" si="31"/>
        <v>43122648.82</v>
      </c>
      <c r="J126" s="52">
        <f t="shared" si="31"/>
        <v>15897590.140000001</v>
      </c>
      <c r="K126" s="52">
        <f t="shared" si="31"/>
        <v>11089417.09</v>
      </c>
      <c r="L126" s="101">
        <f t="shared" si="31"/>
        <v>11089417.09</v>
      </c>
      <c r="M126" s="101">
        <f t="shared" si="31"/>
        <v>0</v>
      </c>
      <c r="N126" s="101">
        <f t="shared" si="31"/>
        <v>0</v>
      </c>
      <c r="O126" s="101">
        <f t="shared" si="31"/>
        <v>0</v>
      </c>
      <c r="P126" s="101">
        <f t="shared" si="31"/>
        <v>0</v>
      </c>
      <c r="Q126" s="101">
        <f t="shared" si="31"/>
        <v>0</v>
      </c>
    </row>
    <row r="127" spans="1:17" ht="30" x14ac:dyDescent="0.25">
      <c r="A127" s="169"/>
      <c r="B127" s="125"/>
      <c r="C127" s="173"/>
      <c r="D127" s="3" t="s">
        <v>8</v>
      </c>
      <c r="E127" s="101">
        <f>SUM(F127:Q127)</f>
        <v>0</v>
      </c>
      <c r="F127" s="101">
        <f t="shared" si="31"/>
        <v>0</v>
      </c>
      <c r="G127" s="101">
        <f t="shared" si="31"/>
        <v>0</v>
      </c>
      <c r="H127" s="52">
        <f t="shared" si="31"/>
        <v>0</v>
      </c>
      <c r="I127" s="52">
        <f t="shared" si="31"/>
        <v>0</v>
      </c>
      <c r="J127" s="52">
        <f t="shared" si="31"/>
        <v>0</v>
      </c>
      <c r="K127" s="52">
        <f t="shared" si="31"/>
        <v>0</v>
      </c>
      <c r="L127" s="101">
        <f t="shared" si="31"/>
        <v>0</v>
      </c>
      <c r="M127" s="101">
        <f t="shared" si="31"/>
        <v>0</v>
      </c>
      <c r="N127" s="101">
        <f t="shared" si="31"/>
        <v>0</v>
      </c>
      <c r="O127" s="101">
        <f t="shared" si="31"/>
        <v>0</v>
      </c>
      <c r="P127" s="101">
        <f t="shared" si="31"/>
        <v>0</v>
      </c>
      <c r="Q127" s="101">
        <f t="shared" si="31"/>
        <v>0</v>
      </c>
    </row>
    <row r="128" spans="1:17" ht="15" customHeight="1" x14ac:dyDescent="0.25">
      <c r="A128" s="174" t="s">
        <v>164</v>
      </c>
      <c r="B128" s="174"/>
      <c r="C128" s="171"/>
      <c r="D128" s="3" t="s">
        <v>9</v>
      </c>
      <c r="E128" s="97">
        <f>SUM(E129:E132)</f>
        <v>420406120.88</v>
      </c>
      <c r="F128" s="97">
        <f t="shared" ref="F128:Q128" si="32">SUM(F129:F132)</f>
        <v>73867521.670000002</v>
      </c>
      <c r="G128" s="97">
        <f t="shared" si="32"/>
        <v>53424362.990000002</v>
      </c>
      <c r="H128" s="97">
        <f t="shared" si="32"/>
        <v>87212734.820000008</v>
      </c>
      <c r="I128" s="97">
        <f t="shared" si="32"/>
        <v>89905010.569999993</v>
      </c>
      <c r="J128" s="97">
        <f t="shared" si="32"/>
        <v>45688238.539999999</v>
      </c>
      <c r="K128" s="97">
        <f t="shared" si="32"/>
        <v>35707204.140000001</v>
      </c>
      <c r="L128" s="97">
        <f>SUM(L129:L132)</f>
        <v>34601048.149999999</v>
      </c>
      <c r="M128" s="97">
        <f t="shared" si="32"/>
        <v>0</v>
      </c>
      <c r="N128" s="97">
        <f t="shared" si="32"/>
        <v>0</v>
      </c>
      <c r="O128" s="97">
        <f t="shared" si="32"/>
        <v>0</v>
      </c>
      <c r="P128" s="97">
        <f t="shared" si="32"/>
        <v>0</v>
      </c>
      <c r="Q128" s="97">
        <f t="shared" si="32"/>
        <v>0</v>
      </c>
    </row>
    <row r="129" spans="1:17" ht="30" x14ac:dyDescent="0.25">
      <c r="A129" s="174"/>
      <c r="B129" s="174"/>
      <c r="C129" s="172"/>
      <c r="D129" s="3" t="s">
        <v>2</v>
      </c>
      <c r="E129" s="97">
        <f>SUM(F129:Q129)</f>
        <v>0</v>
      </c>
      <c r="F129" s="97">
        <f>F34+F45+F57+F68+F124</f>
        <v>0</v>
      </c>
      <c r="G129" s="97">
        <f t="shared" ref="G129:Q129" si="33">G34+G45+G57+G68+G124</f>
        <v>0</v>
      </c>
      <c r="H129" s="97">
        <f t="shared" si="33"/>
        <v>0</v>
      </c>
      <c r="I129" s="97">
        <f t="shared" si="33"/>
        <v>0</v>
      </c>
      <c r="J129" s="97">
        <f t="shared" si="33"/>
        <v>0</v>
      </c>
      <c r="K129" s="97">
        <f t="shared" si="33"/>
        <v>0</v>
      </c>
      <c r="L129" s="97">
        <f t="shared" si="33"/>
        <v>0</v>
      </c>
      <c r="M129" s="97">
        <f t="shared" si="33"/>
        <v>0</v>
      </c>
      <c r="N129" s="97">
        <f t="shared" si="33"/>
        <v>0</v>
      </c>
      <c r="O129" s="97">
        <f t="shared" si="33"/>
        <v>0</v>
      </c>
      <c r="P129" s="97">
        <f t="shared" si="33"/>
        <v>0</v>
      </c>
      <c r="Q129" s="97">
        <f t="shared" si="33"/>
        <v>0</v>
      </c>
    </row>
    <row r="130" spans="1:17" ht="45" x14ac:dyDescent="0.25">
      <c r="A130" s="174"/>
      <c r="B130" s="174"/>
      <c r="C130" s="172"/>
      <c r="D130" s="3" t="s">
        <v>7</v>
      </c>
      <c r="E130" s="101">
        <f>F130+G130+H130+I130+J130+K130+L130+M130+N130+O130+P130+Q130</f>
        <v>93602700</v>
      </c>
      <c r="F130" s="97">
        <f t="shared" ref="F130:Q132" si="34">F35+F46+F58+F69+F125</f>
        <v>18953900</v>
      </c>
      <c r="G130" s="97">
        <f t="shared" si="34"/>
        <v>15016700</v>
      </c>
      <c r="H130" s="97">
        <f t="shared" si="34"/>
        <v>33291000</v>
      </c>
      <c r="I130" s="97">
        <f t="shared" si="34"/>
        <v>18169200</v>
      </c>
      <c r="J130" s="97">
        <f t="shared" si="34"/>
        <v>277000</v>
      </c>
      <c r="K130" s="97">
        <f t="shared" si="34"/>
        <v>3945800</v>
      </c>
      <c r="L130" s="97">
        <f t="shared" si="34"/>
        <v>3949100</v>
      </c>
      <c r="M130" s="97">
        <f t="shared" si="34"/>
        <v>0</v>
      </c>
      <c r="N130" s="97">
        <f t="shared" si="34"/>
        <v>0</v>
      </c>
      <c r="O130" s="97">
        <f t="shared" si="34"/>
        <v>0</v>
      </c>
      <c r="P130" s="97">
        <f t="shared" si="34"/>
        <v>0</v>
      </c>
      <c r="Q130" s="97">
        <f t="shared" si="34"/>
        <v>0</v>
      </c>
    </row>
    <row r="131" spans="1:17" x14ac:dyDescent="0.25">
      <c r="A131" s="174"/>
      <c r="B131" s="174"/>
      <c r="C131" s="172"/>
      <c r="D131" s="3" t="s">
        <v>3</v>
      </c>
      <c r="E131" s="101">
        <f>F131+G131+H131+I131+J131+K131+L131+M131+N131+O131+P131+Q131</f>
        <v>325563420.88</v>
      </c>
      <c r="F131" s="97">
        <f t="shared" si="34"/>
        <v>53693621.670000002</v>
      </c>
      <c r="G131" s="97">
        <f t="shared" si="34"/>
        <v>38387662.990000002</v>
      </c>
      <c r="H131" s="97">
        <f t="shared" si="34"/>
        <v>53921734.820000008</v>
      </c>
      <c r="I131" s="97">
        <f t="shared" si="34"/>
        <v>71735810.569999993</v>
      </c>
      <c r="J131" s="97">
        <f t="shared" si="34"/>
        <v>45411238.539999999</v>
      </c>
      <c r="K131" s="97">
        <f t="shared" si="34"/>
        <v>31761404.140000001</v>
      </c>
      <c r="L131" s="97">
        <f t="shared" si="34"/>
        <v>30651948.149999999</v>
      </c>
      <c r="M131" s="97">
        <f t="shared" si="34"/>
        <v>0</v>
      </c>
      <c r="N131" s="97">
        <f t="shared" si="34"/>
        <v>0</v>
      </c>
      <c r="O131" s="97">
        <f t="shared" si="34"/>
        <v>0</v>
      </c>
      <c r="P131" s="97">
        <f t="shared" si="34"/>
        <v>0</v>
      </c>
      <c r="Q131" s="97">
        <f t="shared" si="34"/>
        <v>0</v>
      </c>
    </row>
    <row r="132" spans="1:17" ht="30" x14ac:dyDescent="0.25">
      <c r="A132" s="174"/>
      <c r="B132" s="174"/>
      <c r="C132" s="173"/>
      <c r="D132" s="3" t="s">
        <v>8</v>
      </c>
      <c r="E132" s="101">
        <f>F132+G132+H132+I132+J132+K132+L132+M132+N132+O132+P132+Q132</f>
        <v>1240000</v>
      </c>
      <c r="F132" s="97">
        <f t="shared" si="34"/>
        <v>1220000</v>
      </c>
      <c r="G132" s="97">
        <f t="shared" si="34"/>
        <v>20000</v>
      </c>
      <c r="H132" s="97">
        <f t="shared" si="34"/>
        <v>0</v>
      </c>
      <c r="I132" s="97">
        <f t="shared" si="34"/>
        <v>0</v>
      </c>
      <c r="J132" s="97">
        <f t="shared" si="34"/>
        <v>0</v>
      </c>
      <c r="K132" s="97">
        <f t="shared" si="34"/>
        <v>0</v>
      </c>
      <c r="L132" s="97">
        <f t="shared" si="34"/>
        <v>0</v>
      </c>
      <c r="M132" s="97">
        <f t="shared" si="34"/>
        <v>0</v>
      </c>
      <c r="N132" s="97">
        <f t="shared" si="34"/>
        <v>0</v>
      </c>
      <c r="O132" s="97">
        <f t="shared" si="34"/>
        <v>0</v>
      </c>
      <c r="P132" s="97">
        <f t="shared" si="34"/>
        <v>0</v>
      </c>
      <c r="Q132" s="97">
        <f t="shared" si="34"/>
        <v>0</v>
      </c>
    </row>
    <row r="133" spans="1:17" ht="15" customHeight="1" x14ac:dyDescent="0.25">
      <c r="A133" s="144"/>
      <c r="B133" s="147" t="s">
        <v>165</v>
      </c>
      <c r="C133" s="150"/>
      <c r="D133" s="3" t="s">
        <v>9</v>
      </c>
      <c r="E133" s="101">
        <f>SUM(E134:E137)</f>
        <v>0</v>
      </c>
      <c r="F133" s="101">
        <v>0</v>
      </c>
      <c r="G133" s="101">
        <v>0</v>
      </c>
      <c r="H133" s="52">
        <f>SUM(H134:H137)</f>
        <v>0</v>
      </c>
      <c r="I133" s="52">
        <f>SUM(I134:I137)</f>
        <v>0</v>
      </c>
      <c r="J133" s="52">
        <f>SUM(J134:J137)</f>
        <v>0</v>
      </c>
      <c r="K133" s="52">
        <f>SUM(K134:K137)</f>
        <v>0</v>
      </c>
      <c r="L133" s="101">
        <v>0</v>
      </c>
      <c r="M133" s="101">
        <v>0</v>
      </c>
      <c r="N133" s="101">
        <v>0</v>
      </c>
      <c r="O133" s="101">
        <v>0</v>
      </c>
      <c r="P133" s="101">
        <v>0</v>
      </c>
      <c r="Q133" s="101">
        <v>0</v>
      </c>
    </row>
    <row r="134" spans="1:17" ht="30" x14ac:dyDescent="0.25">
      <c r="A134" s="145"/>
      <c r="B134" s="148"/>
      <c r="C134" s="151"/>
      <c r="D134" s="3" t="s">
        <v>2</v>
      </c>
      <c r="E134" s="101">
        <v>0</v>
      </c>
      <c r="F134" s="101">
        <v>0</v>
      </c>
      <c r="G134" s="101">
        <v>0</v>
      </c>
      <c r="H134" s="52">
        <v>0</v>
      </c>
      <c r="I134" s="52">
        <v>0</v>
      </c>
      <c r="J134" s="52">
        <v>0</v>
      </c>
      <c r="K134" s="52">
        <v>0</v>
      </c>
      <c r="L134" s="101">
        <v>0</v>
      </c>
      <c r="M134" s="101">
        <v>0</v>
      </c>
      <c r="N134" s="101">
        <v>0</v>
      </c>
      <c r="O134" s="101">
        <v>0</v>
      </c>
      <c r="P134" s="101">
        <v>0</v>
      </c>
      <c r="Q134" s="101">
        <v>0</v>
      </c>
    </row>
    <row r="135" spans="1:17" ht="45" x14ac:dyDescent="0.25">
      <c r="A135" s="145"/>
      <c r="B135" s="148"/>
      <c r="C135" s="151"/>
      <c r="D135" s="3" t="s">
        <v>7</v>
      </c>
      <c r="E135" s="101">
        <f>SUM(F135:Q135)</f>
        <v>0</v>
      </c>
      <c r="F135" s="101">
        <v>0</v>
      </c>
      <c r="G135" s="101">
        <v>0</v>
      </c>
      <c r="H135" s="52">
        <v>0</v>
      </c>
      <c r="I135" s="52">
        <v>0</v>
      </c>
      <c r="J135" s="52">
        <v>0</v>
      </c>
      <c r="K135" s="52">
        <v>0</v>
      </c>
      <c r="L135" s="101">
        <v>0</v>
      </c>
      <c r="M135" s="101">
        <v>0</v>
      </c>
      <c r="N135" s="101">
        <v>0</v>
      </c>
      <c r="O135" s="101">
        <v>0</v>
      </c>
      <c r="P135" s="101">
        <v>0</v>
      </c>
      <c r="Q135" s="101">
        <v>0</v>
      </c>
    </row>
    <row r="136" spans="1:17" x14ac:dyDescent="0.25">
      <c r="A136" s="145"/>
      <c r="B136" s="148"/>
      <c r="C136" s="151"/>
      <c r="D136" s="3" t="s">
        <v>3</v>
      </c>
      <c r="E136" s="101">
        <f>SUM(F136:Q136)</f>
        <v>0</v>
      </c>
      <c r="F136" s="101">
        <v>0</v>
      </c>
      <c r="G136" s="101">
        <v>0</v>
      </c>
      <c r="H136" s="52">
        <v>0</v>
      </c>
      <c r="I136" s="52">
        <v>0</v>
      </c>
      <c r="J136" s="101">
        <v>0</v>
      </c>
      <c r="K136" s="101">
        <v>0</v>
      </c>
      <c r="L136" s="101">
        <v>0</v>
      </c>
      <c r="M136" s="101">
        <v>0</v>
      </c>
      <c r="N136" s="101">
        <v>0</v>
      </c>
      <c r="O136" s="101">
        <v>0</v>
      </c>
      <c r="P136" s="101">
        <v>0</v>
      </c>
      <c r="Q136" s="101">
        <v>0</v>
      </c>
    </row>
    <row r="137" spans="1:17" ht="30" x14ac:dyDescent="0.25">
      <c r="A137" s="146"/>
      <c r="B137" s="149"/>
      <c r="C137" s="152"/>
      <c r="D137" s="3" t="s">
        <v>8</v>
      </c>
      <c r="E137" s="101">
        <f>SUM(F137:Q137)</f>
        <v>0</v>
      </c>
      <c r="F137" s="101">
        <v>0</v>
      </c>
      <c r="G137" s="101">
        <v>0</v>
      </c>
      <c r="H137" s="52">
        <v>0</v>
      </c>
      <c r="I137" s="52">
        <v>0</v>
      </c>
      <c r="J137" s="52">
        <v>0</v>
      </c>
      <c r="K137" s="52">
        <v>0</v>
      </c>
      <c r="L137" s="101">
        <v>0</v>
      </c>
      <c r="M137" s="101">
        <v>0</v>
      </c>
      <c r="N137" s="101">
        <v>0</v>
      </c>
      <c r="O137" s="101">
        <v>0</v>
      </c>
      <c r="P137" s="101">
        <v>0</v>
      </c>
      <c r="Q137" s="101">
        <v>0</v>
      </c>
    </row>
    <row r="138" spans="1:17" x14ac:dyDescent="0.25">
      <c r="A138" s="144"/>
      <c r="B138" s="147" t="s">
        <v>166</v>
      </c>
      <c r="C138" s="156"/>
      <c r="D138" s="3" t="s">
        <v>9</v>
      </c>
      <c r="E138" s="97">
        <f>SUM(E139:E142)</f>
        <v>392215588.67999995</v>
      </c>
      <c r="F138" s="97">
        <v>73867521.670000002</v>
      </c>
      <c r="G138" s="97">
        <v>53424362.990000002</v>
      </c>
      <c r="H138" s="52">
        <v>59022202.620000005</v>
      </c>
      <c r="I138" s="52">
        <f>I139+I140+I141+I142</f>
        <v>89905010.569999993</v>
      </c>
      <c r="J138" s="52">
        <f>J139+J140+J141+J142</f>
        <v>45688238.539999999</v>
      </c>
      <c r="K138" s="52">
        <f t="shared" ref="K138:L138" si="35">K139+K140+K141+K142</f>
        <v>35707204.140000001</v>
      </c>
      <c r="L138" s="52">
        <f t="shared" si="35"/>
        <v>34601048.149999999</v>
      </c>
      <c r="M138" s="97">
        <v>0</v>
      </c>
      <c r="N138" s="97">
        <v>0</v>
      </c>
      <c r="O138" s="97">
        <v>0</v>
      </c>
      <c r="P138" s="97">
        <v>0</v>
      </c>
      <c r="Q138" s="97">
        <v>0</v>
      </c>
    </row>
    <row r="139" spans="1:17" ht="30" x14ac:dyDescent="0.25">
      <c r="A139" s="145"/>
      <c r="B139" s="148"/>
      <c r="C139" s="157"/>
      <c r="D139" s="3" t="s">
        <v>2</v>
      </c>
      <c r="E139" s="97">
        <f>SUM(F139:Q139)</f>
        <v>0</v>
      </c>
      <c r="F139" s="97">
        <v>0</v>
      </c>
      <c r="G139" s="101">
        <v>0</v>
      </c>
      <c r="H139" s="52">
        <v>0</v>
      </c>
      <c r="I139" s="52">
        <v>0</v>
      </c>
      <c r="J139" s="52">
        <v>0</v>
      </c>
      <c r="K139" s="52">
        <v>0</v>
      </c>
      <c r="L139" s="101">
        <v>0</v>
      </c>
      <c r="M139" s="101">
        <v>0</v>
      </c>
      <c r="N139" s="101">
        <v>0</v>
      </c>
      <c r="O139" s="101">
        <v>0</v>
      </c>
      <c r="P139" s="101">
        <v>0</v>
      </c>
      <c r="Q139" s="101">
        <v>0</v>
      </c>
    </row>
    <row r="140" spans="1:17" ht="45" x14ac:dyDescent="0.25">
      <c r="A140" s="145"/>
      <c r="B140" s="148"/>
      <c r="C140" s="157"/>
      <c r="D140" s="3" t="s">
        <v>7</v>
      </c>
      <c r="E140" s="97">
        <f t="shared" ref="E140:E142" si="36">SUM(F140:Q140)</f>
        <v>82802700</v>
      </c>
      <c r="F140" s="97">
        <v>18953900</v>
      </c>
      <c r="G140" s="97">
        <v>15016700</v>
      </c>
      <c r="H140" s="52">
        <v>22491000</v>
      </c>
      <c r="I140" s="52">
        <f>I130</f>
        <v>18169200</v>
      </c>
      <c r="J140" s="52">
        <f t="shared" ref="J140:L140" si="37">J130</f>
        <v>277000</v>
      </c>
      <c r="K140" s="52">
        <f t="shared" si="37"/>
        <v>3945800</v>
      </c>
      <c r="L140" s="52">
        <f t="shared" si="37"/>
        <v>3949100</v>
      </c>
      <c r="M140" s="97">
        <v>0</v>
      </c>
      <c r="N140" s="97">
        <v>0</v>
      </c>
      <c r="O140" s="97">
        <v>0</v>
      </c>
      <c r="P140" s="97">
        <v>0</v>
      </c>
      <c r="Q140" s="97">
        <v>0</v>
      </c>
    </row>
    <row r="141" spans="1:17" x14ac:dyDescent="0.25">
      <c r="A141" s="145"/>
      <c r="B141" s="148"/>
      <c r="C141" s="157"/>
      <c r="D141" s="3" t="s">
        <v>3</v>
      </c>
      <c r="E141" s="97">
        <f t="shared" si="36"/>
        <v>308172888.67999995</v>
      </c>
      <c r="F141" s="101">
        <v>53693621.670000002</v>
      </c>
      <c r="G141" s="101">
        <v>38387662.990000002</v>
      </c>
      <c r="H141" s="52">
        <v>36531202.620000005</v>
      </c>
      <c r="I141" s="52">
        <f>I128-I133-I140</f>
        <v>71735810.569999993</v>
      </c>
      <c r="J141" s="52">
        <f t="shared" ref="J141:L141" si="38">J128-J133-J140</f>
        <v>45411238.539999999</v>
      </c>
      <c r="K141" s="52">
        <f>K128-K133-K140</f>
        <v>31761404.140000001</v>
      </c>
      <c r="L141" s="52">
        <f t="shared" si="38"/>
        <v>30651948.149999999</v>
      </c>
      <c r="M141" s="101">
        <v>0</v>
      </c>
      <c r="N141" s="101">
        <v>0</v>
      </c>
      <c r="O141" s="101">
        <v>0</v>
      </c>
      <c r="P141" s="101">
        <v>0</v>
      </c>
      <c r="Q141" s="101">
        <v>0</v>
      </c>
    </row>
    <row r="142" spans="1:17" ht="30" x14ac:dyDescent="0.25">
      <c r="A142" s="146"/>
      <c r="B142" s="149"/>
      <c r="C142" s="158"/>
      <c r="D142" s="3" t="s">
        <v>8</v>
      </c>
      <c r="E142" s="97">
        <f t="shared" si="36"/>
        <v>1240000</v>
      </c>
      <c r="F142" s="97">
        <v>1220000</v>
      </c>
      <c r="G142" s="97">
        <v>20000</v>
      </c>
      <c r="H142" s="52">
        <v>0</v>
      </c>
      <c r="I142" s="52">
        <v>0</v>
      </c>
      <c r="J142" s="52">
        <v>0</v>
      </c>
      <c r="K142" s="52">
        <v>0</v>
      </c>
      <c r="L142" s="97">
        <v>0</v>
      </c>
      <c r="M142" s="97">
        <v>0</v>
      </c>
      <c r="N142" s="97">
        <v>0</v>
      </c>
      <c r="O142" s="97">
        <v>0</v>
      </c>
      <c r="P142" s="97">
        <v>0</v>
      </c>
      <c r="Q142" s="97">
        <v>0</v>
      </c>
    </row>
    <row r="143" spans="1:17" x14ac:dyDescent="0.25">
      <c r="A143" s="54"/>
      <c r="B143" s="100" t="s">
        <v>167</v>
      </c>
      <c r="C143" s="55"/>
      <c r="D143" s="56"/>
      <c r="E143" s="57"/>
      <c r="F143" s="57"/>
      <c r="G143" s="101"/>
      <c r="H143" s="52"/>
      <c r="I143" s="52"/>
      <c r="J143" s="52"/>
      <c r="K143" s="52"/>
      <c r="L143" s="101"/>
      <c r="M143" s="101"/>
      <c r="N143" s="101"/>
      <c r="O143" s="101"/>
      <c r="P143" s="101"/>
      <c r="Q143" s="101"/>
    </row>
    <row r="144" spans="1:17" ht="15" customHeight="1" x14ac:dyDescent="0.25">
      <c r="A144" s="144"/>
      <c r="B144" s="147" t="s">
        <v>168</v>
      </c>
      <c r="C144" s="153"/>
      <c r="D144" s="3" t="s">
        <v>9</v>
      </c>
      <c r="E144" s="97">
        <f>SUM(E145:E148)</f>
        <v>367960056.88999999</v>
      </c>
      <c r="F144" s="97">
        <f t="shared" ref="F144:I144" si="39">SUM(F145:F148)</f>
        <v>52832743.890000001</v>
      </c>
      <c r="G144" s="97">
        <f t="shared" si="39"/>
        <v>51272439.550000004</v>
      </c>
      <c r="H144" s="51">
        <f t="shared" si="39"/>
        <v>86812734.820000008</v>
      </c>
      <c r="I144" s="51">
        <f t="shared" si="39"/>
        <v>61325491.299999997</v>
      </c>
      <c r="J144" s="51">
        <f>SUM(J145:J148)</f>
        <v>45408395.039999999</v>
      </c>
      <c r="K144" s="51">
        <f>SUM(K145:K148)</f>
        <v>35707204.140000001</v>
      </c>
      <c r="L144" s="97">
        <f>L145+L146+L147+L148</f>
        <v>34601048.149999999</v>
      </c>
      <c r="M144" s="97">
        <v>0</v>
      </c>
      <c r="N144" s="97">
        <v>0</v>
      </c>
      <c r="O144" s="97">
        <v>0</v>
      </c>
      <c r="P144" s="97">
        <v>0</v>
      </c>
      <c r="Q144" s="97">
        <v>0</v>
      </c>
    </row>
    <row r="145" spans="1:17" ht="30" x14ac:dyDescent="0.25">
      <c r="A145" s="145"/>
      <c r="B145" s="148"/>
      <c r="C145" s="154"/>
      <c r="D145" s="3" t="s">
        <v>2</v>
      </c>
      <c r="E145" s="101">
        <v>0</v>
      </c>
      <c r="F145" s="101">
        <v>0</v>
      </c>
      <c r="G145" s="101">
        <v>0</v>
      </c>
      <c r="H145" s="52">
        <v>0</v>
      </c>
      <c r="I145" s="52">
        <v>0</v>
      </c>
      <c r="J145" s="52">
        <v>0</v>
      </c>
      <c r="K145" s="52">
        <v>0</v>
      </c>
      <c r="L145" s="101">
        <v>0</v>
      </c>
      <c r="M145" s="101">
        <v>0</v>
      </c>
      <c r="N145" s="101">
        <v>0</v>
      </c>
      <c r="O145" s="101">
        <v>0</v>
      </c>
      <c r="P145" s="101">
        <v>0</v>
      </c>
      <c r="Q145" s="101">
        <v>0</v>
      </c>
    </row>
    <row r="146" spans="1:17" ht="45" x14ac:dyDescent="0.25">
      <c r="A146" s="145"/>
      <c r="B146" s="148"/>
      <c r="C146" s="154"/>
      <c r="D146" s="3" t="s">
        <v>7</v>
      </c>
      <c r="E146" s="101">
        <f>SUM(F146:Q146)</f>
        <v>93117700</v>
      </c>
      <c r="F146" s="101">
        <f>F130-F151</f>
        <v>18468900</v>
      </c>
      <c r="G146" s="101">
        <f>G130-G151</f>
        <v>15016700</v>
      </c>
      <c r="H146" s="52">
        <v>33291000</v>
      </c>
      <c r="I146" s="52">
        <f>I130</f>
        <v>18169200</v>
      </c>
      <c r="J146" s="52">
        <f>J130</f>
        <v>277000</v>
      </c>
      <c r="K146" s="52">
        <f>K130</f>
        <v>3945800</v>
      </c>
      <c r="L146" s="52">
        <f>L130</f>
        <v>3949100</v>
      </c>
      <c r="M146" s="101">
        <v>0</v>
      </c>
      <c r="N146" s="101">
        <v>0</v>
      </c>
      <c r="O146" s="101">
        <v>0</v>
      </c>
      <c r="P146" s="101">
        <v>0</v>
      </c>
      <c r="Q146" s="101">
        <v>0</v>
      </c>
    </row>
    <row r="147" spans="1:17" x14ac:dyDescent="0.25">
      <c r="A147" s="145"/>
      <c r="B147" s="148"/>
      <c r="C147" s="154"/>
      <c r="D147" s="3" t="s">
        <v>3</v>
      </c>
      <c r="E147" s="101">
        <f>SUM(F147:Q147)</f>
        <v>273602356.88999999</v>
      </c>
      <c r="F147" s="101">
        <f>F131-F152</f>
        <v>33143843.890000001</v>
      </c>
      <c r="G147" s="101">
        <f>G131-G152</f>
        <v>36235739.550000004</v>
      </c>
      <c r="H147" s="52">
        <v>53521734.820000008</v>
      </c>
      <c r="I147" s="52">
        <v>43156291.299999997</v>
      </c>
      <c r="J147" s="52">
        <f>J18+J54+J73+J78+J91+J93+J118</f>
        <v>45131395.039999999</v>
      </c>
      <c r="K147" s="52">
        <f>K18+K54+K73+K78+K91+K93+K118</f>
        <v>31761404.140000001</v>
      </c>
      <c r="L147" s="52">
        <f>L18+L54+L73+L78+L91+L93+L118</f>
        <v>30651948.149999999</v>
      </c>
      <c r="M147" s="101">
        <v>0</v>
      </c>
      <c r="N147" s="101">
        <v>0</v>
      </c>
      <c r="O147" s="101">
        <v>0</v>
      </c>
      <c r="P147" s="101">
        <v>0</v>
      </c>
      <c r="Q147" s="101">
        <v>0</v>
      </c>
    </row>
    <row r="148" spans="1:17" ht="30" x14ac:dyDescent="0.25">
      <c r="A148" s="146"/>
      <c r="B148" s="149"/>
      <c r="C148" s="155"/>
      <c r="D148" s="3" t="s">
        <v>8</v>
      </c>
      <c r="E148" s="101">
        <f>SUM(F148:Q148)</f>
        <v>1240000</v>
      </c>
      <c r="F148" s="101">
        <v>1220000</v>
      </c>
      <c r="G148" s="101">
        <v>20000</v>
      </c>
      <c r="H148" s="52">
        <v>0</v>
      </c>
      <c r="I148" s="51">
        <v>0</v>
      </c>
      <c r="J148" s="52">
        <v>0</v>
      </c>
      <c r="K148" s="51">
        <v>0</v>
      </c>
      <c r="L148" s="97">
        <v>0</v>
      </c>
      <c r="M148" s="97">
        <v>0</v>
      </c>
      <c r="N148" s="97">
        <v>0</v>
      </c>
      <c r="O148" s="97">
        <v>0</v>
      </c>
      <c r="P148" s="97">
        <v>0</v>
      </c>
      <c r="Q148" s="97">
        <v>0</v>
      </c>
    </row>
    <row r="149" spans="1:17" ht="15" customHeight="1" x14ac:dyDescent="0.25">
      <c r="A149" s="144"/>
      <c r="B149" s="147" t="s">
        <v>169</v>
      </c>
      <c r="C149" s="150"/>
      <c r="D149" s="3" t="s">
        <v>9</v>
      </c>
      <c r="E149" s="101">
        <f>SUM(E150:E153)</f>
        <v>52166220.490000002</v>
      </c>
      <c r="F149" s="97">
        <f>SUM(F150:F153)</f>
        <v>21034777.780000001</v>
      </c>
      <c r="G149" s="101">
        <f t="shared" ref="G149:Q149" si="40">SUM(G150:G153)</f>
        <v>2151923.44</v>
      </c>
      <c r="H149" s="52">
        <f t="shared" si="40"/>
        <v>400000</v>
      </c>
      <c r="I149" s="52">
        <f t="shared" si="40"/>
        <v>28579519.27</v>
      </c>
      <c r="J149" s="52">
        <f t="shared" si="40"/>
        <v>0</v>
      </c>
      <c r="K149" s="51">
        <f t="shared" si="40"/>
        <v>0</v>
      </c>
      <c r="L149" s="97">
        <f t="shared" si="40"/>
        <v>0</v>
      </c>
      <c r="M149" s="97">
        <f t="shared" si="40"/>
        <v>0</v>
      </c>
      <c r="N149" s="97">
        <f t="shared" si="40"/>
        <v>0</v>
      </c>
      <c r="O149" s="97">
        <f t="shared" si="40"/>
        <v>0</v>
      </c>
      <c r="P149" s="97">
        <f t="shared" si="40"/>
        <v>0</v>
      </c>
      <c r="Q149" s="97">
        <f t="shared" si="40"/>
        <v>0</v>
      </c>
    </row>
    <row r="150" spans="1:17" ht="30" x14ac:dyDescent="0.25">
      <c r="A150" s="145"/>
      <c r="B150" s="148"/>
      <c r="C150" s="151"/>
      <c r="D150" s="3" t="s">
        <v>2</v>
      </c>
      <c r="E150" s="101">
        <v>0</v>
      </c>
      <c r="F150" s="101">
        <v>0</v>
      </c>
      <c r="G150" s="101">
        <v>0</v>
      </c>
      <c r="H150" s="52">
        <v>0</v>
      </c>
      <c r="I150" s="52">
        <v>0</v>
      </c>
      <c r="J150" s="52">
        <v>0</v>
      </c>
      <c r="K150" s="51">
        <v>0</v>
      </c>
      <c r="L150" s="97">
        <v>0</v>
      </c>
      <c r="M150" s="97">
        <v>0</v>
      </c>
      <c r="N150" s="97">
        <v>0</v>
      </c>
      <c r="O150" s="97">
        <v>0</v>
      </c>
      <c r="P150" s="97">
        <v>0</v>
      </c>
      <c r="Q150" s="97">
        <v>0</v>
      </c>
    </row>
    <row r="151" spans="1:17" ht="45" x14ac:dyDescent="0.25">
      <c r="A151" s="145"/>
      <c r="B151" s="148"/>
      <c r="C151" s="151"/>
      <c r="D151" s="3" t="s">
        <v>7</v>
      </c>
      <c r="E151" s="101">
        <f>SUM(F151:Q151)</f>
        <v>485000</v>
      </c>
      <c r="F151" s="101">
        <v>485000</v>
      </c>
      <c r="G151" s="97">
        <v>0</v>
      </c>
      <c r="H151" s="51">
        <v>0</v>
      </c>
      <c r="I151" s="51">
        <v>0</v>
      </c>
      <c r="J151" s="51">
        <v>0</v>
      </c>
      <c r="K151" s="51">
        <v>0</v>
      </c>
      <c r="L151" s="97">
        <v>0</v>
      </c>
      <c r="M151" s="97">
        <v>0</v>
      </c>
      <c r="N151" s="97">
        <v>0</v>
      </c>
      <c r="O151" s="97">
        <v>0</v>
      </c>
      <c r="P151" s="97">
        <v>0</v>
      </c>
      <c r="Q151" s="97">
        <v>0</v>
      </c>
    </row>
    <row r="152" spans="1:17" x14ac:dyDescent="0.25">
      <c r="A152" s="145"/>
      <c r="B152" s="148"/>
      <c r="C152" s="151"/>
      <c r="D152" s="3" t="s">
        <v>3</v>
      </c>
      <c r="E152" s="101">
        <f>SUM(F152:Q152)</f>
        <v>51681220.490000002</v>
      </c>
      <c r="F152" s="101">
        <f>20000000+249777.78+300000</f>
        <v>20549777.780000001</v>
      </c>
      <c r="G152" s="101">
        <f>279750.05+1872173.39</f>
        <v>2151923.44</v>
      </c>
      <c r="H152" s="51">
        <v>400000</v>
      </c>
      <c r="I152" s="51">
        <v>28579519.27</v>
      </c>
      <c r="J152" s="51">
        <v>0</v>
      </c>
      <c r="K152" s="51">
        <v>0</v>
      </c>
      <c r="L152" s="97">
        <v>0</v>
      </c>
      <c r="M152" s="97">
        <v>0</v>
      </c>
      <c r="N152" s="97">
        <v>0</v>
      </c>
      <c r="O152" s="97">
        <v>0</v>
      </c>
      <c r="P152" s="97">
        <v>0</v>
      </c>
      <c r="Q152" s="97">
        <v>0</v>
      </c>
    </row>
    <row r="153" spans="1:17" ht="30" x14ac:dyDescent="0.25">
      <c r="A153" s="146"/>
      <c r="B153" s="149"/>
      <c r="C153" s="152"/>
      <c r="D153" s="3" t="s">
        <v>8</v>
      </c>
      <c r="E153" s="101">
        <v>0</v>
      </c>
      <c r="F153" s="97">
        <v>0</v>
      </c>
      <c r="G153" s="97">
        <v>0</v>
      </c>
      <c r="H153" s="51">
        <v>0</v>
      </c>
      <c r="I153" s="51">
        <v>0</v>
      </c>
      <c r="J153" s="51">
        <v>0</v>
      </c>
      <c r="K153" s="51">
        <v>0</v>
      </c>
      <c r="L153" s="97">
        <v>0</v>
      </c>
      <c r="M153" s="97">
        <v>0</v>
      </c>
      <c r="N153" s="97">
        <v>0</v>
      </c>
      <c r="O153" s="97">
        <v>0</v>
      </c>
      <c r="P153" s="97">
        <v>0</v>
      </c>
      <c r="Q153" s="97">
        <v>0</v>
      </c>
    </row>
    <row r="154" spans="1:17" ht="15" customHeight="1" x14ac:dyDescent="0.25">
      <c r="A154" s="144"/>
      <c r="B154" s="147" t="s">
        <v>170</v>
      </c>
      <c r="C154" s="153"/>
      <c r="D154" s="3" t="s">
        <v>9</v>
      </c>
      <c r="E154" s="101">
        <v>0</v>
      </c>
      <c r="F154" s="97">
        <v>0</v>
      </c>
      <c r="G154" s="97">
        <v>0</v>
      </c>
      <c r="H154" s="51">
        <v>0</v>
      </c>
      <c r="I154" s="51">
        <v>0</v>
      </c>
      <c r="J154" s="51">
        <v>0</v>
      </c>
      <c r="K154" s="51">
        <v>0</v>
      </c>
      <c r="L154" s="97">
        <v>0</v>
      </c>
      <c r="M154" s="97">
        <v>0</v>
      </c>
      <c r="N154" s="97">
        <v>0</v>
      </c>
      <c r="O154" s="97">
        <v>0</v>
      </c>
      <c r="P154" s="97">
        <v>0</v>
      </c>
      <c r="Q154" s="97">
        <v>0</v>
      </c>
    </row>
    <row r="155" spans="1:17" ht="30" x14ac:dyDescent="0.25">
      <c r="A155" s="145"/>
      <c r="B155" s="148"/>
      <c r="C155" s="154"/>
      <c r="D155" s="3" t="s">
        <v>2</v>
      </c>
      <c r="E155" s="101">
        <v>0</v>
      </c>
      <c r="F155" s="101">
        <v>0</v>
      </c>
      <c r="G155" s="97">
        <v>0</v>
      </c>
      <c r="H155" s="51">
        <v>0</v>
      </c>
      <c r="I155" s="51">
        <v>0</v>
      </c>
      <c r="J155" s="51">
        <v>0</v>
      </c>
      <c r="K155" s="51">
        <v>0</v>
      </c>
      <c r="L155" s="97">
        <v>0</v>
      </c>
      <c r="M155" s="97">
        <v>0</v>
      </c>
      <c r="N155" s="97">
        <v>0</v>
      </c>
      <c r="O155" s="97">
        <v>0</v>
      </c>
      <c r="P155" s="97">
        <v>0</v>
      </c>
      <c r="Q155" s="97">
        <v>0</v>
      </c>
    </row>
    <row r="156" spans="1:17" ht="45" x14ac:dyDescent="0.25">
      <c r="A156" s="145"/>
      <c r="B156" s="148"/>
      <c r="C156" s="154"/>
      <c r="D156" s="3" t="s">
        <v>7</v>
      </c>
      <c r="E156" s="101">
        <v>0</v>
      </c>
      <c r="F156" s="101">
        <v>0</v>
      </c>
      <c r="G156" s="97">
        <v>0</v>
      </c>
      <c r="H156" s="51">
        <v>0</v>
      </c>
      <c r="I156" s="51">
        <v>0</v>
      </c>
      <c r="J156" s="51">
        <v>0</v>
      </c>
      <c r="K156" s="51">
        <v>0</v>
      </c>
      <c r="L156" s="97">
        <v>0</v>
      </c>
      <c r="M156" s="97">
        <v>0</v>
      </c>
      <c r="N156" s="97">
        <v>0</v>
      </c>
      <c r="O156" s="97">
        <v>0</v>
      </c>
      <c r="P156" s="97">
        <v>0</v>
      </c>
      <c r="Q156" s="97">
        <v>0</v>
      </c>
    </row>
    <row r="157" spans="1:17" x14ac:dyDescent="0.25">
      <c r="A157" s="145"/>
      <c r="B157" s="148"/>
      <c r="C157" s="154"/>
      <c r="D157" s="3" t="s">
        <v>3</v>
      </c>
      <c r="E157" s="101">
        <v>0</v>
      </c>
      <c r="F157" s="101">
        <v>0</v>
      </c>
      <c r="G157" s="97">
        <v>0</v>
      </c>
      <c r="H157" s="51">
        <v>0</v>
      </c>
      <c r="I157" s="51">
        <v>0</v>
      </c>
      <c r="J157" s="51">
        <v>0</v>
      </c>
      <c r="K157" s="51">
        <v>0</v>
      </c>
      <c r="L157" s="97">
        <v>0</v>
      </c>
      <c r="M157" s="97">
        <v>0</v>
      </c>
      <c r="N157" s="97">
        <v>0</v>
      </c>
      <c r="O157" s="97">
        <v>0</v>
      </c>
      <c r="P157" s="97">
        <v>0</v>
      </c>
      <c r="Q157" s="97">
        <v>0</v>
      </c>
    </row>
    <row r="158" spans="1:17" ht="30" x14ac:dyDescent="0.25">
      <c r="A158" s="146"/>
      <c r="B158" s="149"/>
      <c r="C158" s="155"/>
      <c r="D158" s="3" t="s">
        <v>8</v>
      </c>
      <c r="E158" s="101">
        <v>0</v>
      </c>
      <c r="F158" s="97">
        <v>0</v>
      </c>
      <c r="G158" s="97">
        <v>0</v>
      </c>
      <c r="H158" s="51">
        <v>0</v>
      </c>
      <c r="I158" s="51">
        <v>0</v>
      </c>
      <c r="J158" s="51">
        <v>0</v>
      </c>
      <c r="K158" s="51">
        <v>0</v>
      </c>
      <c r="L158" s="97">
        <v>0</v>
      </c>
      <c r="M158" s="97">
        <v>0</v>
      </c>
      <c r="N158" s="97">
        <v>0</v>
      </c>
      <c r="O158" s="97">
        <v>0</v>
      </c>
      <c r="P158" s="97">
        <v>0</v>
      </c>
      <c r="Q158" s="97">
        <v>0</v>
      </c>
    </row>
    <row r="159" spans="1:17" x14ac:dyDescent="0.25">
      <c r="D159" s="1"/>
      <c r="F159" s="44"/>
      <c r="I159" s="1"/>
      <c r="J159" s="1"/>
      <c r="K159" s="1"/>
    </row>
  </sheetData>
  <mergeCells count="94">
    <mergeCell ref="J2:M2"/>
    <mergeCell ref="N2:Q2"/>
    <mergeCell ref="A6:Q6"/>
    <mergeCell ref="A7:D7"/>
    <mergeCell ref="A8:A10"/>
    <mergeCell ref="B8:B10"/>
    <mergeCell ref="C8:C10"/>
    <mergeCell ref="D8:D10"/>
    <mergeCell ref="E8:Q9"/>
    <mergeCell ref="A38:Q38"/>
    <mergeCell ref="A12:Q12"/>
    <mergeCell ref="A13:A17"/>
    <mergeCell ref="B13:B17"/>
    <mergeCell ref="C13:C17"/>
    <mergeCell ref="B18:B22"/>
    <mergeCell ref="A23:A27"/>
    <mergeCell ref="B23:B27"/>
    <mergeCell ref="C23:C27"/>
    <mergeCell ref="B28:B32"/>
    <mergeCell ref="C28:C32"/>
    <mergeCell ref="A33:A37"/>
    <mergeCell ref="B33:B37"/>
    <mergeCell ref="C33:C37"/>
    <mergeCell ref="A39:A43"/>
    <mergeCell ref="B39:B43"/>
    <mergeCell ref="C39:C43"/>
    <mergeCell ref="A44:A48"/>
    <mergeCell ref="B44:B48"/>
    <mergeCell ref="C44:C48"/>
    <mergeCell ref="A49:Q50"/>
    <mergeCell ref="A51:A55"/>
    <mergeCell ref="B51:B55"/>
    <mergeCell ref="C51:C55"/>
    <mergeCell ref="A56:A60"/>
    <mergeCell ref="B56:B60"/>
    <mergeCell ref="C56:C60"/>
    <mergeCell ref="A61:Q61"/>
    <mergeCell ref="A62:A66"/>
    <mergeCell ref="B62:B66"/>
    <mergeCell ref="C62:C66"/>
    <mergeCell ref="A67:A71"/>
    <mergeCell ref="B67:B71"/>
    <mergeCell ref="C67:C71"/>
    <mergeCell ref="A72:Q72"/>
    <mergeCell ref="A73:A77"/>
    <mergeCell ref="B73:B77"/>
    <mergeCell ref="C73:C77"/>
    <mergeCell ref="A78:A82"/>
    <mergeCell ref="B78:B82"/>
    <mergeCell ref="C78:C82"/>
    <mergeCell ref="A83:A87"/>
    <mergeCell ref="B83:B87"/>
    <mergeCell ref="C83:C87"/>
    <mergeCell ref="A88:A92"/>
    <mergeCell ref="B88:B92"/>
    <mergeCell ref="C88:C92"/>
    <mergeCell ref="A93:A97"/>
    <mergeCell ref="B93:B97"/>
    <mergeCell ref="C93:C97"/>
    <mergeCell ref="A98:A102"/>
    <mergeCell ref="B98:B102"/>
    <mergeCell ref="C98:C102"/>
    <mergeCell ref="A103:A107"/>
    <mergeCell ref="B103:B107"/>
    <mergeCell ref="C103:C107"/>
    <mergeCell ref="A108:A112"/>
    <mergeCell ref="B108:B112"/>
    <mergeCell ref="C108:C112"/>
    <mergeCell ref="A133:A137"/>
    <mergeCell ref="B133:B137"/>
    <mergeCell ref="C133:C137"/>
    <mergeCell ref="A113:A117"/>
    <mergeCell ref="B113:B117"/>
    <mergeCell ref="C113:C117"/>
    <mergeCell ref="A118:A122"/>
    <mergeCell ref="B118:B122"/>
    <mergeCell ref="C118:C122"/>
    <mergeCell ref="A123:A127"/>
    <mergeCell ref="B123:B127"/>
    <mergeCell ref="C123:C127"/>
    <mergeCell ref="A128:B132"/>
    <mergeCell ref="C128:C132"/>
    <mergeCell ref="A138:A142"/>
    <mergeCell ref="B138:B142"/>
    <mergeCell ref="C138:C142"/>
    <mergeCell ref="A144:A148"/>
    <mergeCell ref="B144:B148"/>
    <mergeCell ref="C144:C148"/>
    <mergeCell ref="A149:A153"/>
    <mergeCell ref="B149:B153"/>
    <mergeCell ref="C149:C153"/>
    <mergeCell ref="A154:A158"/>
    <mergeCell ref="B154:B158"/>
    <mergeCell ref="C154:C158"/>
  </mergeCells>
  <printOptions horizontalCentered="1"/>
  <pageMargins left="0.51181102362204722" right="0.51181102362204722" top="0.69128787878787878" bottom="0.55118110236220474" header="0" footer="0"/>
  <pageSetup paperSize="9" scale="50" firstPageNumber="7" fitToHeight="10" pageOrder="overThenDown" orientation="landscape" useFirstPageNumber="1" r:id="rId1"/>
  <headerFooter differentOddEven="1">
    <oddHeader>&amp;C&amp;"Times New Roman,обычный"&amp;14
&amp;P</oddHeader>
    <evenHeader>&amp;C&amp;"Times New Roman,обычный"&amp;14
&amp;P</evenHeader>
  </headerFooter>
  <rowBreaks count="4" manualBreakCount="4">
    <brk id="37" max="16" man="1"/>
    <brk id="71" max="16" man="1"/>
    <brk id="102" max="16" man="1"/>
    <brk id="132" max="1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9"/>
  <sheetViews>
    <sheetView view="pageLayout" zoomScaleNormal="100" workbookViewId="0">
      <selection activeCell="B3" sqref="B3:D3"/>
    </sheetView>
  </sheetViews>
  <sheetFormatPr defaultRowHeight="15" x14ac:dyDescent="0.25"/>
  <cols>
    <col min="1" max="1" width="33.28515625" style="58" customWidth="1"/>
    <col min="2" max="2" width="27.85546875" style="58" customWidth="1"/>
    <col min="3" max="3" width="47.140625" style="58" customWidth="1"/>
    <col min="4" max="4" width="84" style="58" customWidth="1"/>
    <col min="5" max="16384" width="9.140625" style="58"/>
  </cols>
  <sheetData>
    <row r="1" spans="1:4" x14ac:dyDescent="0.25">
      <c r="A1" s="43"/>
      <c r="B1" s="1"/>
      <c r="C1" s="43"/>
      <c r="D1" s="37" t="s">
        <v>171</v>
      </c>
    </row>
    <row r="2" spans="1:4" x14ac:dyDescent="0.25">
      <c r="A2" s="123" t="s">
        <v>6</v>
      </c>
      <c r="B2" s="123"/>
      <c r="C2" s="123"/>
      <c r="D2" s="123"/>
    </row>
    <row r="3" spans="1:4" x14ac:dyDescent="0.25">
      <c r="A3" s="43"/>
      <c r="B3" s="123" t="s">
        <v>305</v>
      </c>
      <c r="C3" s="123"/>
      <c r="D3" s="123"/>
    </row>
    <row r="4" spans="1:4" x14ac:dyDescent="0.25">
      <c r="A4" s="43"/>
      <c r="B4" s="37"/>
      <c r="C4" s="37"/>
      <c r="D4" s="37"/>
    </row>
    <row r="5" spans="1:4" x14ac:dyDescent="0.25">
      <c r="A5" s="43"/>
      <c r="B5" s="1"/>
      <c r="C5" s="43"/>
      <c r="D5" s="37" t="s">
        <v>226</v>
      </c>
    </row>
    <row r="8" spans="1:4" ht="45" customHeight="1" x14ac:dyDescent="0.25">
      <c r="A8" s="206" t="s">
        <v>227</v>
      </c>
      <c r="B8" s="207"/>
      <c r="C8" s="207"/>
      <c r="D8" s="207"/>
    </row>
    <row r="10" spans="1:4" ht="128.25" customHeight="1" x14ac:dyDescent="0.25">
      <c r="A10" s="86" t="s">
        <v>228</v>
      </c>
      <c r="B10" s="86" t="s">
        <v>229</v>
      </c>
      <c r="C10" s="86" t="s">
        <v>230</v>
      </c>
      <c r="D10" s="86" t="s">
        <v>231</v>
      </c>
    </row>
    <row r="11" spans="1:4" x14ac:dyDescent="0.25">
      <c r="A11" s="86">
        <v>1</v>
      </c>
      <c r="B11" s="86">
        <v>2</v>
      </c>
      <c r="C11" s="86">
        <v>3</v>
      </c>
      <c r="D11" s="86">
        <v>4</v>
      </c>
    </row>
    <row r="12" spans="1:4" ht="39" customHeight="1" x14ac:dyDescent="0.25">
      <c r="A12" s="203" t="s">
        <v>232</v>
      </c>
      <c r="B12" s="204"/>
      <c r="C12" s="204"/>
      <c r="D12" s="205"/>
    </row>
    <row r="13" spans="1:4" ht="51.75" customHeight="1" x14ac:dyDescent="0.25">
      <c r="A13" s="203" t="s">
        <v>233</v>
      </c>
      <c r="B13" s="204"/>
      <c r="C13" s="204"/>
      <c r="D13" s="205"/>
    </row>
    <row r="14" spans="1:4" ht="33.75" customHeight="1" x14ac:dyDescent="0.25">
      <c r="A14" s="208" t="s">
        <v>234</v>
      </c>
      <c r="B14" s="208"/>
      <c r="C14" s="208"/>
      <c r="D14" s="208"/>
    </row>
    <row r="15" spans="1:4" s="89" customFormat="1" ht="126.75" customHeight="1" x14ac:dyDescent="0.25">
      <c r="A15" s="90" t="s">
        <v>120</v>
      </c>
      <c r="B15" s="93" t="s">
        <v>235</v>
      </c>
      <c r="C15" s="93" t="s">
        <v>236</v>
      </c>
      <c r="D15" s="94" t="s">
        <v>295</v>
      </c>
    </row>
    <row r="16" spans="1:4" s="89" customFormat="1" ht="120.75" customHeight="1" x14ac:dyDescent="0.25">
      <c r="A16" s="90" t="s">
        <v>122</v>
      </c>
      <c r="B16" s="93" t="s">
        <v>237</v>
      </c>
      <c r="C16" s="93" t="s">
        <v>238</v>
      </c>
      <c r="D16" s="95" t="s">
        <v>290</v>
      </c>
    </row>
    <row r="17" spans="1:4" s="89" customFormat="1" ht="50.25" customHeight="1" x14ac:dyDescent="0.25">
      <c r="A17" s="90" t="s">
        <v>124</v>
      </c>
      <c r="B17" s="93" t="s">
        <v>239</v>
      </c>
      <c r="C17" s="93" t="s">
        <v>239</v>
      </c>
      <c r="D17" s="93" t="s">
        <v>296</v>
      </c>
    </row>
    <row r="18" spans="1:4" s="89" customFormat="1" ht="138" customHeight="1" x14ac:dyDescent="0.25">
      <c r="A18" s="90" t="s">
        <v>127</v>
      </c>
      <c r="B18" s="93" t="s">
        <v>126</v>
      </c>
      <c r="C18" s="93" t="s">
        <v>293</v>
      </c>
      <c r="D18" s="93" t="s">
        <v>297</v>
      </c>
    </row>
    <row r="19" spans="1:4" ht="42" customHeight="1" x14ac:dyDescent="0.25">
      <c r="A19" s="203" t="s">
        <v>240</v>
      </c>
      <c r="B19" s="204"/>
      <c r="C19" s="204"/>
      <c r="D19" s="205"/>
    </row>
    <row r="20" spans="1:4" ht="44.25" customHeight="1" x14ac:dyDescent="0.25">
      <c r="A20" s="203" t="s">
        <v>241</v>
      </c>
      <c r="B20" s="204"/>
      <c r="C20" s="204"/>
      <c r="D20" s="205"/>
    </row>
    <row r="21" spans="1:4" ht="32.25" customHeight="1" x14ac:dyDescent="0.25">
      <c r="A21" s="203" t="s">
        <v>242</v>
      </c>
      <c r="B21" s="204"/>
      <c r="C21" s="204"/>
      <c r="D21" s="205"/>
    </row>
    <row r="22" spans="1:4" s="92" customFormat="1" ht="132" customHeight="1" x14ac:dyDescent="0.25">
      <c r="A22" s="90" t="s">
        <v>288</v>
      </c>
      <c r="B22" s="91" t="s">
        <v>243</v>
      </c>
      <c r="C22" s="91" t="s">
        <v>243</v>
      </c>
      <c r="D22" s="93" t="s">
        <v>291</v>
      </c>
    </row>
    <row r="23" spans="1:4" ht="36" customHeight="1" x14ac:dyDescent="0.25">
      <c r="A23" s="203" t="s">
        <v>244</v>
      </c>
      <c r="B23" s="204"/>
      <c r="C23" s="204"/>
      <c r="D23" s="205"/>
    </row>
    <row r="24" spans="1:4" ht="33.75" customHeight="1" x14ac:dyDescent="0.25">
      <c r="A24" s="203" t="s">
        <v>245</v>
      </c>
      <c r="B24" s="204"/>
      <c r="C24" s="204"/>
      <c r="D24" s="205"/>
    </row>
    <row r="25" spans="1:4" ht="55.5" customHeight="1" x14ac:dyDescent="0.25">
      <c r="A25" s="203" t="s">
        <v>246</v>
      </c>
      <c r="B25" s="204"/>
      <c r="C25" s="204"/>
      <c r="D25" s="205"/>
    </row>
    <row r="26" spans="1:4" ht="172.5" customHeight="1" x14ac:dyDescent="0.25">
      <c r="A26" s="90" t="s">
        <v>289</v>
      </c>
      <c r="B26" s="93" t="s">
        <v>247</v>
      </c>
      <c r="C26" s="93" t="s">
        <v>248</v>
      </c>
      <c r="D26" s="93" t="s">
        <v>249</v>
      </c>
    </row>
    <row r="27" spans="1:4" ht="172.5" customHeight="1" x14ac:dyDescent="0.25">
      <c r="A27" s="203" t="s">
        <v>250</v>
      </c>
      <c r="B27" s="204"/>
      <c r="C27" s="204"/>
      <c r="D27" s="205"/>
    </row>
    <row r="28" spans="1:4" ht="34.5" customHeight="1" x14ac:dyDescent="0.25">
      <c r="A28" s="203" t="s">
        <v>251</v>
      </c>
      <c r="B28" s="204"/>
      <c r="C28" s="204"/>
      <c r="D28" s="205"/>
    </row>
    <row r="29" spans="1:4" ht="27" customHeight="1" x14ac:dyDescent="0.25">
      <c r="A29" s="203" t="s">
        <v>252</v>
      </c>
      <c r="B29" s="204"/>
      <c r="C29" s="204"/>
      <c r="D29" s="205"/>
    </row>
    <row r="30" spans="1:4" s="92" customFormat="1" ht="68.25" customHeight="1" x14ac:dyDescent="0.25">
      <c r="A30" s="90" t="s">
        <v>138</v>
      </c>
      <c r="B30" s="93" t="s">
        <v>253</v>
      </c>
      <c r="C30" s="93" t="s">
        <v>253</v>
      </c>
      <c r="D30" s="93" t="s">
        <v>254</v>
      </c>
    </row>
    <row r="31" spans="1:4" ht="29.25" customHeight="1" x14ac:dyDescent="0.25">
      <c r="A31" s="203" t="s">
        <v>255</v>
      </c>
      <c r="B31" s="204"/>
      <c r="C31" s="204"/>
      <c r="D31" s="205"/>
    </row>
    <row r="32" spans="1:4" ht="37.5" customHeight="1" x14ac:dyDescent="0.25">
      <c r="A32" s="203" t="s">
        <v>256</v>
      </c>
      <c r="B32" s="204"/>
      <c r="C32" s="204"/>
      <c r="D32" s="205"/>
    </row>
    <row r="33" spans="1:4" ht="41.25" customHeight="1" x14ac:dyDescent="0.25">
      <c r="A33" s="203" t="s">
        <v>257</v>
      </c>
      <c r="B33" s="204"/>
      <c r="C33" s="204"/>
      <c r="D33" s="205"/>
    </row>
    <row r="34" spans="1:4" s="92" customFormat="1" ht="66" customHeight="1" x14ac:dyDescent="0.25">
      <c r="A34" s="90" t="s">
        <v>142</v>
      </c>
      <c r="B34" s="93" t="s">
        <v>258</v>
      </c>
      <c r="C34" s="93" t="s">
        <v>259</v>
      </c>
      <c r="D34" s="91" t="s">
        <v>292</v>
      </c>
    </row>
    <row r="35" spans="1:4" s="92" customFormat="1" ht="76.5" customHeight="1" x14ac:dyDescent="0.25">
      <c r="A35" s="90" t="s">
        <v>144</v>
      </c>
      <c r="B35" s="93" t="s">
        <v>260</v>
      </c>
      <c r="C35" s="93" t="s">
        <v>261</v>
      </c>
      <c r="D35" s="91" t="s">
        <v>298</v>
      </c>
    </row>
    <row r="36" spans="1:4" s="92" customFormat="1" ht="101.25" customHeight="1" x14ac:dyDescent="0.25">
      <c r="A36" s="90" t="s">
        <v>146</v>
      </c>
      <c r="B36" s="93" t="s">
        <v>262</v>
      </c>
      <c r="C36" s="93" t="s">
        <v>263</v>
      </c>
      <c r="D36" s="91" t="s">
        <v>299</v>
      </c>
    </row>
    <row r="37" spans="1:4" s="92" customFormat="1" ht="133.5" customHeight="1" x14ac:dyDescent="0.25">
      <c r="A37" s="90" t="s">
        <v>148</v>
      </c>
      <c r="B37" s="93" t="s">
        <v>264</v>
      </c>
      <c r="C37" s="93" t="s">
        <v>265</v>
      </c>
      <c r="D37" s="93" t="s">
        <v>266</v>
      </c>
    </row>
    <row r="38" spans="1:4" s="92" customFormat="1" ht="38.25" customHeight="1" x14ac:dyDescent="0.25">
      <c r="A38" s="90" t="s">
        <v>150</v>
      </c>
      <c r="B38" s="93" t="s">
        <v>267</v>
      </c>
      <c r="C38" s="93" t="s">
        <v>268</v>
      </c>
      <c r="D38" s="96" t="s">
        <v>269</v>
      </c>
    </row>
    <row r="39" spans="1:4" s="92" customFormat="1" ht="91.5" customHeight="1" x14ac:dyDescent="0.25">
      <c r="A39" s="90" t="s">
        <v>152</v>
      </c>
      <c r="B39" s="93" t="s">
        <v>270</v>
      </c>
      <c r="C39" s="93" t="s">
        <v>271</v>
      </c>
      <c r="D39" s="93" t="s">
        <v>272</v>
      </c>
    </row>
    <row r="40" spans="1:4" s="92" customFormat="1" ht="88.5" customHeight="1" x14ac:dyDescent="0.25">
      <c r="A40" s="90" t="s">
        <v>154</v>
      </c>
      <c r="B40" s="93" t="s">
        <v>273</v>
      </c>
      <c r="C40" s="93" t="s">
        <v>274</v>
      </c>
      <c r="D40" s="93" t="s">
        <v>300</v>
      </c>
    </row>
    <row r="41" spans="1:4" s="92" customFormat="1" ht="60" x14ac:dyDescent="0.25">
      <c r="A41" s="90" t="s">
        <v>156</v>
      </c>
      <c r="B41" s="93" t="s">
        <v>275</v>
      </c>
      <c r="C41" s="93" t="s">
        <v>276</v>
      </c>
      <c r="D41" s="209" t="s">
        <v>301</v>
      </c>
    </row>
    <row r="42" spans="1:4" s="92" customFormat="1" ht="31.5" customHeight="1" x14ac:dyDescent="0.25">
      <c r="A42" s="90" t="s">
        <v>159</v>
      </c>
      <c r="B42" s="93" t="s">
        <v>277</v>
      </c>
      <c r="C42" s="93" t="s">
        <v>278</v>
      </c>
      <c r="D42" s="210"/>
    </row>
    <row r="43" spans="1:4" s="92" customFormat="1" ht="45" x14ac:dyDescent="0.25">
      <c r="A43" s="90" t="s">
        <v>161</v>
      </c>
      <c r="B43" s="93" t="s">
        <v>279</v>
      </c>
      <c r="C43" s="93" t="s">
        <v>280</v>
      </c>
      <c r="D43" s="211"/>
    </row>
    <row r="44" spans="1:4" ht="40.5" customHeight="1" x14ac:dyDescent="0.25">
      <c r="A44" s="203" t="s">
        <v>281</v>
      </c>
      <c r="B44" s="204"/>
      <c r="C44" s="204"/>
      <c r="D44" s="205"/>
    </row>
    <row r="45" spans="1:4" ht="37.5" customHeight="1" x14ac:dyDescent="0.25">
      <c r="A45" s="203" t="s">
        <v>282</v>
      </c>
      <c r="B45" s="204"/>
      <c r="C45" s="204"/>
      <c r="D45" s="205"/>
    </row>
    <row r="46" spans="1:4" ht="41.25" customHeight="1" x14ac:dyDescent="0.25">
      <c r="A46" s="203" t="s">
        <v>283</v>
      </c>
      <c r="B46" s="204"/>
      <c r="C46" s="204"/>
      <c r="D46" s="205"/>
    </row>
    <row r="47" spans="1:4" s="92" customFormat="1" ht="126" customHeight="1" x14ac:dyDescent="0.25">
      <c r="A47" s="90" t="s">
        <v>284</v>
      </c>
      <c r="B47" s="93" t="s">
        <v>285</v>
      </c>
      <c r="C47" s="93" t="s">
        <v>286</v>
      </c>
      <c r="D47" s="93" t="s">
        <v>302</v>
      </c>
    </row>
    <row r="48" spans="1:4" x14ac:dyDescent="0.25">
      <c r="A48" s="87"/>
    </row>
    <row r="49" spans="1:1" x14ac:dyDescent="0.25">
      <c r="A49" s="88"/>
    </row>
  </sheetData>
  <mergeCells count="22">
    <mergeCell ref="A46:D46"/>
    <mergeCell ref="A25:D25"/>
    <mergeCell ref="A27:D27"/>
    <mergeCell ref="A28:D28"/>
    <mergeCell ref="A29:D29"/>
    <mergeCell ref="A31:D31"/>
    <mergeCell ref="A32:D32"/>
    <mergeCell ref="A33:D33"/>
    <mergeCell ref="D41:D43"/>
    <mergeCell ref="A44:D44"/>
    <mergeCell ref="A45:D45"/>
    <mergeCell ref="A24:D24"/>
    <mergeCell ref="A2:D2"/>
    <mergeCell ref="B3:D3"/>
    <mergeCell ref="A8:D8"/>
    <mergeCell ref="A12:D12"/>
    <mergeCell ref="A13:D13"/>
    <mergeCell ref="A14:D14"/>
    <mergeCell ref="A19:D19"/>
    <mergeCell ref="A20:D20"/>
    <mergeCell ref="A21:D21"/>
    <mergeCell ref="A23:D23"/>
  </mergeCells>
  <printOptions horizontalCentered="1"/>
  <pageMargins left="0.31496062992125984" right="0.31496062992125984" top="0.55118110236220474" bottom="0.35433070866141736" header="0" footer="0"/>
  <pageSetup paperSize="9" scale="73" firstPageNumber="12" fitToHeight="12" pageOrder="overThenDown" orientation="landscape" useFirstPageNumber="1" r:id="rId1"/>
  <headerFooter>
    <oddHeader>&amp;C&amp;"Times New Roman,обычный"
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6"/>
  <sheetViews>
    <sheetView tabSelected="1" view="pageLayout" zoomScaleNormal="100" workbookViewId="0">
      <selection activeCell="O3" sqref="O3:P3"/>
    </sheetView>
  </sheetViews>
  <sheetFormatPr defaultRowHeight="15" x14ac:dyDescent="0.25"/>
  <cols>
    <col min="1" max="1" width="17" style="58" customWidth="1"/>
    <col min="2" max="2" width="26.28515625" style="58" customWidth="1"/>
    <col min="3" max="3" width="16.28515625" style="58" customWidth="1"/>
    <col min="4" max="5" width="12.28515625" style="58" customWidth="1"/>
    <col min="6" max="6" width="13.5703125" style="58" customWidth="1"/>
    <col min="7" max="7" width="10.85546875" style="58" customWidth="1"/>
    <col min="8" max="8" width="11.85546875" style="59" customWidth="1"/>
    <col min="9" max="9" width="12.140625" style="58" customWidth="1"/>
    <col min="10" max="10" width="11.5703125" style="58" customWidth="1"/>
    <col min="11" max="11" width="10.85546875" style="58" customWidth="1"/>
    <col min="12" max="13" width="12.7109375" style="58" customWidth="1"/>
    <col min="14" max="15" width="9.140625" style="58"/>
    <col min="16" max="16" width="16.42578125" style="58" customWidth="1"/>
    <col min="17" max="16384" width="9.140625" style="58"/>
  </cols>
  <sheetData>
    <row r="1" spans="1:16" x14ac:dyDescent="0.25">
      <c r="K1" s="43"/>
      <c r="L1" s="1"/>
      <c r="N1" s="60"/>
      <c r="O1" s="60"/>
      <c r="P1" s="35" t="s">
        <v>287</v>
      </c>
    </row>
    <row r="2" spans="1:16" x14ac:dyDescent="0.25">
      <c r="N2" s="60"/>
      <c r="O2" s="35"/>
      <c r="P2" s="35" t="s">
        <v>6</v>
      </c>
    </row>
    <row r="3" spans="1:16" x14ac:dyDescent="0.25">
      <c r="K3" s="43"/>
      <c r="M3" s="60"/>
      <c r="N3" s="60"/>
      <c r="O3" s="123" t="s">
        <v>305</v>
      </c>
      <c r="P3" s="123"/>
    </row>
    <row r="4" spans="1:16" x14ac:dyDescent="0.25">
      <c r="K4" s="43"/>
      <c r="L4" s="35"/>
      <c r="M4" s="35"/>
      <c r="N4" s="60"/>
      <c r="O4" s="60"/>
      <c r="P4" s="60"/>
    </row>
    <row r="5" spans="1:16" x14ac:dyDescent="0.25">
      <c r="K5" s="43"/>
      <c r="L5" s="1"/>
      <c r="N5" s="60"/>
      <c r="O5" s="60"/>
      <c r="P5" s="35" t="s">
        <v>172</v>
      </c>
    </row>
    <row r="8" spans="1:16" ht="30.75" customHeight="1" x14ac:dyDescent="0.25">
      <c r="A8" s="206" t="s">
        <v>173</v>
      </c>
      <c r="B8" s="206"/>
      <c r="C8" s="206"/>
      <c r="D8" s="206"/>
      <c r="E8" s="207"/>
      <c r="F8" s="207"/>
      <c r="G8" s="207"/>
      <c r="H8" s="207"/>
      <c r="I8" s="207"/>
      <c r="J8" s="207"/>
      <c r="K8" s="207"/>
      <c r="L8" s="207"/>
      <c r="M8" s="207"/>
    </row>
    <row r="9" spans="1:16" ht="21" customHeight="1" x14ac:dyDescent="0.25">
      <c r="A9" s="207"/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</row>
    <row r="11" spans="1:16" ht="23.25" customHeight="1" x14ac:dyDescent="0.25">
      <c r="A11" s="121" t="s">
        <v>174</v>
      </c>
      <c r="B11" s="121" t="s">
        <v>175</v>
      </c>
      <c r="C11" s="121" t="s">
        <v>176</v>
      </c>
      <c r="D11" s="216" t="s">
        <v>177</v>
      </c>
      <c r="E11" s="216"/>
      <c r="F11" s="216"/>
      <c r="G11" s="216"/>
      <c r="H11" s="216"/>
      <c r="I11" s="216"/>
      <c r="J11" s="216"/>
      <c r="K11" s="217"/>
      <c r="L11" s="61"/>
      <c r="M11" s="61"/>
      <c r="N11" s="61"/>
      <c r="O11" s="61"/>
      <c r="P11" s="121" t="s">
        <v>178</v>
      </c>
    </row>
    <row r="12" spans="1:16" ht="123.75" customHeight="1" x14ac:dyDescent="0.25">
      <c r="A12" s="121"/>
      <c r="B12" s="121"/>
      <c r="C12" s="121"/>
      <c r="D12" s="34" t="s">
        <v>107</v>
      </c>
      <c r="E12" s="34" t="s">
        <v>108</v>
      </c>
      <c r="F12" s="34" t="s">
        <v>109</v>
      </c>
      <c r="G12" s="34" t="s">
        <v>110</v>
      </c>
      <c r="H12" s="46" t="s">
        <v>111</v>
      </c>
      <c r="I12" s="34" t="s">
        <v>112</v>
      </c>
      <c r="J12" s="34" t="s">
        <v>113</v>
      </c>
      <c r="K12" s="34" t="s">
        <v>114</v>
      </c>
      <c r="L12" s="34" t="s">
        <v>115</v>
      </c>
      <c r="M12" s="34" t="s">
        <v>116</v>
      </c>
      <c r="N12" s="34" t="s">
        <v>117</v>
      </c>
      <c r="O12" s="34" t="s">
        <v>118</v>
      </c>
      <c r="P12" s="121"/>
    </row>
    <row r="13" spans="1:16" x14ac:dyDescent="0.25">
      <c r="A13" s="34">
        <v>1</v>
      </c>
      <c r="B13" s="34">
        <v>2</v>
      </c>
      <c r="C13" s="34">
        <v>3</v>
      </c>
      <c r="D13" s="34">
        <v>4</v>
      </c>
      <c r="E13" s="34">
        <v>5</v>
      </c>
      <c r="F13" s="34">
        <v>6</v>
      </c>
      <c r="G13" s="34">
        <v>7</v>
      </c>
      <c r="H13" s="46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</row>
    <row r="14" spans="1:16" ht="118.5" customHeight="1" x14ac:dyDescent="0.25">
      <c r="A14" s="62">
        <v>1</v>
      </c>
      <c r="B14" s="63" t="s">
        <v>179</v>
      </c>
      <c r="C14" s="64">
        <v>0</v>
      </c>
      <c r="D14" s="64">
        <v>0.26200000000000001</v>
      </c>
      <c r="E14" s="64">
        <v>0.33200000000000002</v>
      </c>
      <c r="F14" s="64">
        <v>0.42299999999999999</v>
      </c>
      <c r="G14" s="64">
        <v>0.34399999999999997</v>
      </c>
      <c r="H14" s="65">
        <v>5.1499999999999997E-2</v>
      </c>
      <c r="I14" s="64">
        <v>0.14299999999999999</v>
      </c>
      <c r="J14" s="64">
        <v>0</v>
      </c>
      <c r="K14" s="64">
        <v>0</v>
      </c>
      <c r="L14" s="64">
        <v>0</v>
      </c>
      <c r="M14" s="64">
        <v>0</v>
      </c>
      <c r="N14" s="64">
        <v>0</v>
      </c>
      <c r="O14" s="64">
        <v>0</v>
      </c>
      <c r="P14" s="64">
        <f>D14+E14+F14+G14+H14+I14+J14+K14+L14+M14+N14+O14</f>
        <v>1.5555000000000003</v>
      </c>
    </row>
    <row r="15" spans="1:16" ht="183" customHeight="1" x14ac:dyDescent="0.25">
      <c r="A15" s="62">
        <v>2</v>
      </c>
      <c r="B15" s="63" t="s">
        <v>180</v>
      </c>
      <c r="C15" s="64">
        <v>2</v>
      </c>
      <c r="D15" s="64">
        <v>2</v>
      </c>
      <c r="E15" s="64">
        <v>2</v>
      </c>
      <c r="F15" s="64">
        <v>2</v>
      </c>
      <c r="G15" s="64">
        <v>2</v>
      </c>
      <c r="H15" s="65">
        <v>2</v>
      </c>
      <c r="I15" s="64">
        <v>2</v>
      </c>
      <c r="J15" s="64">
        <v>0</v>
      </c>
      <c r="K15" s="64">
        <v>0</v>
      </c>
      <c r="L15" s="64">
        <v>0</v>
      </c>
      <c r="M15" s="64">
        <v>0</v>
      </c>
      <c r="N15" s="64">
        <v>0</v>
      </c>
      <c r="O15" s="64">
        <v>0</v>
      </c>
      <c r="P15" s="64">
        <v>2</v>
      </c>
    </row>
    <row r="16" spans="1:16" ht="85.5" customHeight="1" x14ac:dyDescent="0.25">
      <c r="A16" s="62">
        <v>3</v>
      </c>
      <c r="B16" s="63" t="s">
        <v>181</v>
      </c>
      <c r="C16" s="64">
        <v>0</v>
      </c>
      <c r="D16" s="64">
        <v>1</v>
      </c>
      <c r="E16" s="64">
        <v>0</v>
      </c>
      <c r="F16" s="64">
        <v>0</v>
      </c>
      <c r="G16" s="64">
        <v>0</v>
      </c>
      <c r="H16" s="65">
        <v>0</v>
      </c>
      <c r="I16" s="64">
        <v>0</v>
      </c>
      <c r="J16" s="64">
        <v>0</v>
      </c>
      <c r="K16" s="64">
        <v>0</v>
      </c>
      <c r="L16" s="64">
        <v>0</v>
      </c>
      <c r="M16" s="64">
        <v>0</v>
      </c>
      <c r="N16" s="64">
        <v>0</v>
      </c>
      <c r="O16" s="64">
        <v>0</v>
      </c>
      <c r="P16" s="64">
        <v>1</v>
      </c>
    </row>
    <row r="17" spans="1:16" ht="158.25" customHeight="1" x14ac:dyDescent="0.25">
      <c r="A17" s="62">
        <v>4</v>
      </c>
      <c r="B17" s="63" t="s">
        <v>182</v>
      </c>
      <c r="C17" s="66">
        <v>0</v>
      </c>
      <c r="D17" s="67" t="s">
        <v>183</v>
      </c>
      <c r="E17" s="67" t="s">
        <v>184</v>
      </c>
      <c r="F17" s="67" t="s">
        <v>185</v>
      </c>
      <c r="G17" s="68" t="s">
        <v>186</v>
      </c>
      <c r="H17" s="69">
        <v>0</v>
      </c>
      <c r="I17" s="66">
        <v>0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7" t="s">
        <v>20</v>
      </c>
    </row>
    <row r="18" spans="1:16" ht="203.25" customHeight="1" x14ac:dyDescent="0.25">
      <c r="A18" s="62">
        <v>5</v>
      </c>
      <c r="B18" s="63" t="s">
        <v>187</v>
      </c>
      <c r="C18" s="70">
        <v>100</v>
      </c>
      <c r="D18" s="70">
        <v>100</v>
      </c>
      <c r="E18" s="70">
        <v>100</v>
      </c>
      <c r="F18" s="70">
        <v>100</v>
      </c>
      <c r="G18" s="70">
        <v>100</v>
      </c>
      <c r="H18" s="71">
        <v>100</v>
      </c>
      <c r="I18" s="70">
        <v>100</v>
      </c>
      <c r="J18" s="70">
        <v>100</v>
      </c>
      <c r="K18" s="70">
        <v>100</v>
      </c>
      <c r="L18" s="70">
        <v>100</v>
      </c>
      <c r="M18" s="70">
        <v>100</v>
      </c>
      <c r="N18" s="70">
        <v>100</v>
      </c>
      <c r="O18" s="70">
        <v>100</v>
      </c>
      <c r="P18" s="70">
        <v>100</v>
      </c>
    </row>
    <row r="19" spans="1:16" ht="199.5" customHeight="1" x14ac:dyDescent="0.25">
      <c r="A19" s="62">
        <v>6</v>
      </c>
      <c r="B19" s="63" t="s">
        <v>188</v>
      </c>
      <c r="C19" s="70">
        <v>100</v>
      </c>
      <c r="D19" s="70">
        <v>100</v>
      </c>
      <c r="E19" s="70">
        <v>100</v>
      </c>
      <c r="F19" s="70">
        <v>100</v>
      </c>
      <c r="G19" s="70">
        <v>100</v>
      </c>
      <c r="H19" s="71">
        <v>100</v>
      </c>
      <c r="I19" s="70">
        <v>100</v>
      </c>
      <c r="J19" s="70">
        <v>100</v>
      </c>
      <c r="K19" s="70">
        <v>100</v>
      </c>
      <c r="L19" s="70">
        <v>100</v>
      </c>
      <c r="M19" s="70">
        <v>100</v>
      </c>
      <c r="N19" s="70">
        <v>100</v>
      </c>
      <c r="O19" s="70">
        <v>100</v>
      </c>
      <c r="P19" s="70">
        <v>100</v>
      </c>
    </row>
    <row r="20" spans="1:16" ht="189.75" customHeight="1" x14ac:dyDescent="0.25">
      <c r="A20" s="62">
        <v>7</v>
      </c>
      <c r="B20" s="63" t="s">
        <v>189</v>
      </c>
      <c r="C20" s="70">
        <v>100</v>
      </c>
      <c r="D20" s="70">
        <v>100</v>
      </c>
      <c r="E20" s="70">
        <v>100</v>
      </c>
      <c r="F20" s="70">
        <v>100</v>
      </c>
      <c r="G20" s="70">
        <v>100</v>
      </c>
      <c r="H20" s="71">
        <v>100</v>
      </c>
      <c r="I20" s="70">
        <v>100</v>
      </c>
      <c r="J20" s="70">
        <v>100</v>
      </c>
      <c r="K20" s="70">
        <v>100</v>
      </c>
      <c r="L20" s="70">
        <v>100</v>
      </c>
      <c r="M20" s="70">
        <v>100</v>
      </c>
      <c r="N20" s="70">
        <v>100</v>
      </c>
      <c r="O20" s="70">
        <v>100</v>
      </c>
      <c r="P20" s="70">
        <v>100</v>
      </c>
    </row>
    <row r="21" spans="1:16" ht="204.75" customHeight="1" x14ac:dyDescent="0.25">
      <c r="A21" s="62">
        <v>8</v>
      </c>
      <c r="B21" s="63" t="s">
        <v>190</v>
      </c>
      <c r="C21" s="70">
        <v>100</v>
      </c>
      <c r="D21" s="70">
        <v>100</v>
      </c>
      <c r="E21" s="70">
        <v>100</v>
      </c>
      <c r="F21" s="70">
        <v>100</v>
      </c>
      <c r="G21" s="70">
        <v>100</v>
      </c>
      <c r="H21" s="71">
        <v>100</v>
      </c>
      <c r="I21" s="70">
        <v>100</v>
      </c>
      <c r="J21" s="70">
        <v>100</v>
      </c>
      <c r="K21" s="70">
        <v>100</v>
      </c>
      <c r="L21" s="70">
        <v>100</v>
      </c>
      <c r="M21" s="70">
        <v>100</v>
      </c>
      <c r="N21" s="70">
        <v>100</v>
      </c>
      <c r="O21" s="70">
        <v>100</v>
      </c>
      <c r="P21" s="70">
        <v>100</v>
      </c>
    </row>
    <row r="22" spans="1:16" ht="169.5" customHeight="1" x14ac:dyDescent="0.25">
      <c r="A22" s="62">
        <v>9</v>
      </c>
      <c r="B22" s="72" t="s">
        <v>191</v>
      </c>
      <c r="C22" s="73">
        <v>48.33</v>
      </c>
      <c r="D22" s="73">
        <v>48.19</v>
      </c>
      <c r="E22" s="73">
        <v>48.09</v>
      </c>
      <c r="F22" s="73">
        <v>48.09</v>
      </c>
      <c r="G22" s="73">
        <v>48.09</v>
      </c>
      <c r="H22" s="74">
        <v>48.19</v>
      </c>
      <c r="I22" s="73">
        <v>48.19</v>
      </c>
      <c r="J22" s="73">
        <v>48.19</v>
      </c>
      <c r="K22" s="73">
        <v>48.19</v>
      </c>
      <c r="L22" s="73">
        <v>48.19</v>
      </c>
      <c r="M22" s="73">
        <v>48.19</v>
      </c>
      <c r="N22" s="73">
        <v>48.19</v>
      </c>
      <c r="O22" s="73">
        <v>48.19</v>
      </c>
      <c r="P22" s="73">
        <v>48.19</v>
      </c>
    </row>
    <row r="23" spans="1:16" ht="185.25" customHeight="1" x14ac:dyDescent="0.25">
      <c r="A23" s="62">
        <v>10</v>
      </c>
      <c r="B23" s="72" t="s">
        <v>192</v>
      </c>
      <c r="C23" s="75">
        <v>0.21990000000000001</v>
      </c>
      <c r="D23" s="76">
        <v>0.21970000000000001</v>
      </c>
      <c r="E23" s="76">
        <f>C23*99.9%</f>
        <v>0.21968010000000004</v>
      </c>
      <c r="F23" s="76">
        <v>0.21970000000000001</v>
      </c>
      <c r="G23" s="76">
        <v>0.21970000000000001</v>
      </c>
      <c r="H23" s="77">
        <f>0.2199*99.9%</f>
        <v>0.21968010000000004</v>
      </c>
      <c r="I23" s="75">
        <v>0.21970000000000001</v>
      </c>
      <c r="J23" s="75">
        <f>0.2199*99.9%</f>
        <v>0.21968010000000004</v>
      </c>
      <c r="K23" s="75">
        <f t="shared" ref="K23:P23" si="0">0.2199*99.9%</f>
        <v>0.21968010000000004</v>
      </c>
      <c r="L23" s="75">
        <f t="shared" si="0"/>
        <v>0.21968010000000004</v>
      </c>
      <c r="M23" s="75">
        <f t="shared" si="0"/>
        <v>0.21968010000000004</v>
      </c>
      <c r="N23" s="75">
        <f t="shared" si="0"/>
        <v>0.21968010000000004</v>
      </c>
      <c r="O23" s="75">
        <f t="shared" si="0"/>
        <v>0.21968010000000004</v>
      </c>
      <c r="P23" s="75">
        <f t="shared" si="0"/>
        <v>0.21968010000000004</v>
      </c>
    </row>
    <row r="24" spans="1:16" ht="166.5" customHeight="1" x14ac:dyDescent="0.25">
      <c r="A24" s="62">
        <v>11</v>
      </c>
      <c r="B24" s="72" t="s">
        <v>193</v>
      </c>
      <c r="C24" s="73">
        <v>8.9600000000000009</v>
      </c>
      <c r="D24" s="78">
        <f>8.96*99.9%</f>
        <v>8.9510400000000025</v>
      </c>
      <c r="E24" s="78">
        <f>D24*99.9%</f>
        <v>8.9420889600000031</v>
      </c>
      <c r="F24" s="78">
        <v>8.94</v>
      </c>
      <c r="G24" s="78">
        <v>8.94</v>
      </c>
      <c r="H24" s="79">
        <v>8.94</v>
      </c>
      <c r="I24" s="78">
        <v>8.94</v>
      </c>
      <c r="J24" s="78">
        <v>8.94</v>
      </c>
      <c r="K24" s="78">
        <v>8.94</v>
      </c>
      <c r="L24" s="78">
        <v>8.94</v>
      </c>
      <c r="M24" s="78">
        <v>8.94</v>
      </c>
      <c r="N24" s="78">
        <v>8.94</v>
      </c>
      <c r="O24" s="78">
        <v>8.94</v>
      </c>
      <c r="P24" s="73">
        <f>E24</f>
        <v>8.9420889600000031</v>
      </c>
    </row>
    <row r="25" spans="1:16" ht="164.25" customHeight="1" x14ac:dyDescent="0.25">
      <c r="A25" s="62">
        <v>12</v>
      </c>
      <c r="B25" s="72" t="s">
        <v>194</v>
      </c>
      <c r="C25" s="73">
        <v>4.68</v>
      </c>
      <c r="D25" s="73">
        <v>4.67</v>
      </c>
      <c r="E25" s="78">
        <v>4.67</v>
      </c>
      <c r="F25" s="78">
        <f>E25*99.9%</f>
        <v>4.6653300000000009</v>
      </c>
      <c r="G25" s="78">
        <f>F25*99.9%</f>
        <v>4.660664670000001</v>
      </c>
      <c r="H25" s="79">
        <v>4.67</v>
      </c>
      <c r="I25" s="78">
        <f t="shared" ref="I25" si="1">H25*99.9%</f>
        <v>4.6653300000000009</v>
      </c>
      <c r="J25" s="78">
        <v>4.67</v>
      </c>
      <c r="K25" s="78">
        <v>4.67</v>
      </c>
      <c r="L25" s="78">
        <v>4.67</v>
      </c>
      <c r="M25" s="78">
        <v>4.67</v>
      </c>
      <c r="N25" s="78">
        <v>4.67</v>
      </c>
      <c r="O25" s="78">
        <v>4.67</v>
      </c>
      <c r="P25" s="73">
        <f>E25</f>
        <v>4.67</v>
      </c>
    </row>
    <row r="26" spans="1:16" ht="284.25" customHeight="1" x14ac:dyDescent="0.25">
      <c r="A26" s="62">
        <v>13</v>
      </c>
      <c r="B26" s="72" t="s">
        <v>195</v>
      </c>
      <c r="C26" s="70">
        <v>0</v>
      </c>
      <c r="D26" s="70">
        <v>0</v>
      </c>
      <c r="E26" s="70">
        <v>0</v>
      </c>
      <c r="F26" s="70">
        <v>0</v>
      </c>
      <c r="G26" s="70">
        <v>0</v>
      </c>
      <c r="H26" s="71">
        <v>0</v>
      </c>
      <c r="I26" s="70">
        <v>0</v>
      </c>
      <c r="J26" s="70">
        <v>0</v>
      </c>
      <c r="K26" s="70">
        <v>0</v>
      </c>
      <c r="L26" s="70">
        <v>0</v>
      </c>
      <c r="M26" s="70">
        <v>0</v>
      </c>
      <c r="N26" s="70">
        <v>0</v>
      </c>
      <c r="O26" s="70">
        <v>0</v>
      </c>
      <c r="P26" s="70">
        <v>0</v>
      </c>
    </row>
    <row r="27" spans="1:16" ht="150" customHeight="1" x14ac:dyDescent="0.25">
      <c r="A27" s="62">
        <v>14</v>
      </c>
      <c r="B27" s="72" t="s">
        <v>196</v>
      </c>
      <c r="C27" s="70">
        <v>0</v>
      </c>
      <c r="D27" s="64">
        <v>3</v>
      </c>
      <c r="E27" s="70">
        <v>0</v>
      </c>
      <c r="F27" s="70">
        <v>0</v>
      </c>
      <c r="G27" s="70">
        <v>0</v>
      </c>
      <c r="H27" s="71">
        <v>0</v>
      </c>
      <c r="I27" s="70">
        <v>0</v>
      </c>
      <c r="J27" s="70">
        <v>0</v>
      </c>
      <c r="K27" s="70">
        <v>0</v>
      </c>
      <c r="L27" s="70">
        <v>0</v>
      </c>
      <c r="M27" s="70">
        <v>0</v>
      </c>
      <c r="N27" s="70">
        <v>0</v>
      </c>
      <c r="O27" s="70">
        <v>0</v>
      </c>
      <c r="P27" s="64">
        <v>3</v>
      </c>
    </row>
    <row r="28" spans="1:16" ht="104.25" customHeight="1" x14ac:dyDescent="0.25">
      <c r="A28" s="62">
        <v>15</v>
      </c>
      <c r="B28" s="63" t="s">
        <v>197</v>
      </c>
      <c r="C28" s="73">
        <f>73675/278428.2</f>
        <v>0.26461040943410186</v>
      </c>
      <c r="D28" s="73">
        <v>0.25</v>
      </c>
      <c r="E28" s="73">
        <v>0.25</v>
      </c>
      <c r="F28" s="73">
        <v>0.25</v>
      </c>
      <c r="G28" s="73">
        <f>((73675+423.103+1268.754))/(278428.2+5034.63+15538.7)</f>
        <v>0.25206177707518751</v>
      </c>
      <c r="H28" s="74">
        <f>0.25*99.9%</f>
        <v>0.24975000000000003</v>
      </c>
      <c r="I28" s="73">
        <f>H28*99.9%</f>
        <v>0.24950025000000006</v>
      </c>
      <c r="J28" s="73">
        <f>I28*99.9%</f>
        <v>0.24925074975000008</v>
      </c>
      <c r="K28" s="73">
        <f t="shared" ref="K28:P28" si="2">J28*99.9%</f>
        <v>0.24900149900025012</v>
      </c>
      <c r="L28" s="73">
        <f t="shared" si="2"/>
        <v>0.24875249750124989</v>
      </c>
      <c r="M28" s="73">
        <f>L28*99.9%</f>
        <v>0.24850374500374867</v>
      </c>
      <c r="N28" s="73">
        <f t="shared" si="2"/>
        <v>0.24825524125874496</v>
      </c>
      <c r="O28" s="73">
        <f t="shared" si="2"/>
        <v>0.24800698601748625</v>
      </c>
      <c r="P28" s="73">
        <f t="shared" si="2"/>
        <v>0.24775897903146879</v>
      </c>
    </row>
    <row r="29" spans="1:16" ht="96.75" customHeight="1" x14ac:dyDescent="0.25">
      <c r="A29" s="62">
        <v>16</v>
      </c>
      <c r="B29" s="63" t="s">
        <v>198</v>
      </c>
      <c r="C29" s="73">
        <v>24.02</v>
      </c>
      <c r="D29" s="73">
        <v>24</v>
      </c>
      <c r="E29" s="73">
        <v>23.97</v>
      </c>
      <c r="F29" s="73">
        <v>23.97</v>
      </c>
      <c r="G29" s="73">
        <v>23.97</v>
      </c>
      <c r="H29" s="74">
        <v>23.97</v>
      </c>
      <c r="I29" s="73">
        <f>H29*99.9%</f>
        <v>23.94603</v>
      </c>
      <c r="J29" s="73">
        <v>23.97</v>
      </c>
      <c r="K29" s="73">
        <v>23.97</v>
      </c>
      <c r="L29" s="73">
        <v>23.97</v>
      </c>
      <c r="M29" s="73">
        <v>23.97</v>
      </c>
      <c r="N29" s="73">
        <v>23.97</v>
      </c>
      <c r="O29" s="73">
        <v>23.97</v>
      </c>
      <c r="P29" s="73">
        <v>23.97</v>
      </c>
    </row>
    <row r="30" spans="1:16" ht="116.25" customHeight="1" x14ac:dyDescent="0.25">
      <c r="A30" s="62">
        <v>17</v>
      </c>
      <c r="B30" s="63" t="s">
        <v>199</v>
      </c>
      <c r="C30" s="73">
        <f>238560/15615</f>
        <v>15.2776176753122</v>
      </c>
      <c r="D30" s="73">
        <v>15.26</v>
      </c>
      <c r="E30" s="73">
        <v>15.24</v>
      </c>
      <c r="F30" s="73">
        <v>15.24</v>
      </c>
      <c r="G30" s="73">
        <v>15.24</v>
      </c>
      <c r="H30" s="74">
        <v>15.24</v>
      </c>
      <c r="I30" s="73">
        <v>15.24</v>
      </c>
      <c r="J30" s="73">
        <v>15.24</v>
      </c>
      <c r="K30" s="73">
        <v>15.24</v>
      </c>
      <c r="L30" s="73">
        <v>15.24</v>
      </c>
      <c r="M30" s="73">
        <v>15.24</v>
      </c>
      <c r="N30" s="73">
        <v>15.24</v>
      </c>
      <c r="O30" s="73">
        <v>15.24</v>
      </c>
      <c r="P30" s="73">
        <v>15.24</v>
      </c>
    </row>
    <row r="31" spans="1:16" ht="132.75" customHeight="1" x14ac:dyDescent="0.25">
      <c r="A31" s="62">
        <v>18</v>
      </c>
      <c r="B31" s="63" t="s">
        <v>200</v>
      </c>
      <c r="C31" s="73">
        <v>46.44</v>
      </c>
      <c r="D31" s="73">
        <v>46.39</v>
      </c>
      <c r="E31" s="73">
        <v>46.35</v>
      </c>
      <c r="F31" s="73">
        <v>46.35</v>
      </c>
      <c r="G31" s="73">
        <v>46.35</v>
      </c>
      <c r="H31" s="74">
        <v>46.35</v>
      </c>
      <c r="I31" s="73">
        <f>H31*99.9%</f>
        <v>46.303650000000005</v>
      </c>
      <c r="J31" s="73">
        <v>46.35</v>
      </c>
      <c r="K31" s="73">
        <v>46.35</v>
      </c>
      <c r="L31" s="73">
        <v>46.35</v>
      </c>
      <c r="M31" s="73">
        <v>46.35</v>
      </c>
      <c r="N31" s="73">
        <v>46.35</v>
      </c>
      <c r="O31" s="73">
        <v>46.35</v>
      </c>
      <c r="P31" s="73">
        <v>46.35</v>
      </c>
    </row>
    <row r="32" spans="1:16" ht="106.5" customHeight="1" x14ac:dyDescent="0.25">
      <c r="A32" s="62">
        <v>19</v>
      </c>
      <c r="B32" s="63" t="s">
        <v>201</v>
      </c>
      <c r="C32" s="80">
        <f>((13724.46*0.3446)+(73675*0.1486))/278428.2</f>
        <v>5.6307349313036541E-2</v>
      </c>
      <c r="D32" s="80">
        <f>0.053*99.9%</f>
        <v>5.2947000000000001E-2</v>
      </c>
      <c r="E32" s="80">
        <f t="shared" ref="E32:F32" si="3">0.053*99.9%</f>
        <v>5.2947000000000001E-2</v>
      </c>
      <c r="F32" s="80">
        <f t="shared" si="3"/>
        <v>5.2947000000000001E-2</v>
      </c>
      <c r="G32" s="80">
        <f>(((13724.46+106.561+147.511)*0.3446)+((73675+423.103+1268.754)*0.1486))/(278428.2+5034.63+17538.7)</f>
        <v>5.32107497174516E-2</v>
      </c>
      <c r="H32" s="81">
        <f>0.053*99.9%</f>
        <v>5.2947000000000001E-2</v>
      </c>
      <c r="I32" s="80">
        <f>H32*99.9%</f>
        <v>5.2894053000000003E-2</v>
      </c>
      <c r="J32" s="80">
        <f>I32*99.9%</f>
        <v>5.2841158947000012E-2</v>
      </c>
      <c r="K32" s="80">
        <f t="shared" ref="K32:P32" si="4">J32*99.9%</f>
        <v>5.278831778805302E-2</v>
      </c>
      <c r="L32" s="80">
        <f t="shared" si="4"/>
        <v>5.2735529470264976E-2</v>
      </c>
      <c r="M32" s="80">
        <f>L32*99.9%</f>
        <v>5.2682793940794719E-2</v>
      </c>
      <c r="N32" s="80">
        <f t="shared" si="4"/>
        <v>5.2630111146853932E-2</v>
      </c>
      <c r="O32" s="80">
        <f t="shared" si="4"/>
        <v>5.2577481035707085E-2</v>
      </c>
      <c r="P32" s="80">
        <f t="shared" si="4"/>
        <v>5.2524903554671383E-2</v>
      </c>
    </row>
    <row r="33" spans="1:16" ht="77.25" customHeight="1" x14ac:dyDescent="0.25">
      <c r="A33" s="62">
        <v>20</v>
      </c>
      <c r="B33" s="72" t="s">
        <v>202</v>
      </c>
      <c r="C33" s="73">
        <v>150.85</v>
      </c>
      <c r="D33" s="73">
        <v>150.85</v>
      </c>
      <c r="E33" s="73">
        <v>150.85</v>
      </c>
      <c r="F33" s="73">
        <v>150.85</v>
      </c>
      <c r="G33" s="73">
        <v>150.85</v>
      </c>
      <c r="H33" s="74">
        <v>150.85</v>
      </c>
      <c r="I33" s="73">
        <v>150.85</v>
      </c>
      <c r="J33" s="73">
        <v>150.85</v>
      </c>
      <c r="K33" s="73">
        <v>150.85</v>
      </c>
      <c r="L33" s="73">
        <v>150.85</v>
      </c>
      <c r="M33" s="73">
        <v>150.85</v>
      </c>
      <c r="N33" s="73">
        <v>150.85</v>
      </c>
      <c r="O33" s="73">
        <v>150.85</v>
      </c>
      <c r="P33" s="73">
        <v>150.85</v>
      </c>
    </row>
    <row r="34" spans="1:16" ht="141" customHeight="1" x14ac:dyDescent="0.25">
      <c r="A34" s="62">
        <v>21</v>
      </c>
      <c r="B34" s="72" t="s">
        <v>203</v>
      </c>
      <c r="C34" s="73">
        <v>12.6</v>
      </c>
      <c r="D34" s="73">
        <v>12.6</v>
      </c>
      <c r="E34" s="73">
        <v>12.6</v>
      </c>
      <c r="F34" s="73">
        <v>12.6</v>
      </c>
      <c r="G34" s="73">
        <v>12.6</v>
      </c>
      <c r="H34" s="74">
        <v>12.6</v>
      </c>
      <c r="I34" s="73">
        <v>12.6</v>
      </c>
      <c r="J34" s="73">
        <v>12.6</v>
      </c>
      <c r="K34" s="73">
        <v>12.6</v>
      </c>
      <c r="L34" s="73">
        <v>12.6</v>
      </c>
      <c r="M34" s="73">
        <v>12.6</v>
      </c>
      <c r="N34" s="73">
        <v>12.6</v>
      </c>
      <c r="O34" s="73">
        <v>12.6</v>
      </c>
      <c r="P34" s="73">
        <v>12.6</v>
      </c>
    </row>
    <row r="35" spans="1:16" ht="98.25" customHeight="1" x14ac:dyDescent="0.25">
      <c r="A35" s="62">
        <v>22</v>
      </c>
      <c r="B35" s="72" t="s">
        <v>204</v>
      </c>
      <c r="C35" s="73">
        <v>10.58</v>
      </c>
      <c r="D35" s="73">
        <v>10.58</v>
      </c>
      <c r="E35" s="73">
        <v>10.58</v>
      </c>
      <c r="F35" s="73">
        <v>10.58</v>
      </c>
      <c r="G35" s="73">
        <v>10.58</v>
      </c>
      <c r="H35" s="74">
        <v>10.58</v>
      </c>
      <c r="I35" s="73">
        <v>10.58</v>
      </c>
      <c r="J35" s="73">
        <v>10.58</v>
      </c>
      <c r="K35" s="73">
        <v>10.58</v>
      </c>
      <c r="L35" s="73">
        <v>10.58</v>
      </c>
      <c r="M35" s="73">
        <v>10.58</v>
      </c>
      <c r="N35" s="73">
        <v>10.58</v>
      </c>
      <c r="O35" s="73">
        <v>10.58</v>
      </c>
      <c r="P35" s="73">
        <v>10.58</v>
      </c>
    </row>
    <row r="36" spans="1:16" ht="72" customHeight="1" x14ac:dyDescent="0.25">
      <c r="A36" s="62">
        <v>23</v>
      </c>
      <c r="B36" s="72" t="s">
        <v>205</v>
      </c>
      <c r="C36" s="73">
        <v>3.95</v>
      </c>
      <c r="D36" s="73">
        <v>3.95</v>
      </c>
      <c r="E36" s="73">
        <v>3.95</v>
      </c>
      <c r="F36" s="73">
        <v>3.95</v>
      </c>
      <c r="G36" s="73">
        <v>3.95</v>
      </c>
      <c r="H36" s="74">
        <v>3.95</v>
      </c>
      <c r="I36" s="73">
        <v>3.95</v>
      </c>
      <c r="J36" s="73">
        <v>3.95</v>
      </c>
      <c r="K36" s="73">
        <v>3.95</v>
      </c>
      <c r="L36" s="73">
        <v>3.95</v>
      </c>
      <c r="M36" s="73">
        <v>3.95</v>
      </c>
      <c r="N36" s="73">
        <v>3.95</v>
      </c>
      <c r="O36" s="73">
        <v>3.95</v>
      </c>
      <c r="P36" s="73">
        <v>3.95</v>
      </c>
    </row>
    <row r="37" spans="1:16" ht="162" customHeight="1" x14ac:dyDescent="0.25">
      <c r="A37" s="62">
        <v>24</v>
      </c>
      <c r="B37" s="72" t="s">
        <v>10</v>
      </c>
      <c r="C37" s="73">
        <v>0.73</v>
      </c>
      <c r="D37" s="73">
        <v>0.73</v>
      </c>
      <c r="E37" s="73">
        <v>0.73</v>
      </c>
      <c r="F37" s="73">
        <v>0.73</v>
      </c>
      <c r="G37" s="73">
        <v>0.73</v>
      </c>
      <c r="H37" s="74">
        <v>0.73</v>
      </c>
      <c r="I37" s="73">
        <v>0.73</v>
      </c>
      <c r="J37" s="73">
        <v>0.73</v>
      </c>
      <c r="K37" s="73">
        <v>0.73</v>
      </c>
      <c r="L37" s="73">
        <v>0.73</v>
      </c>
      <c r="M37" s="73">
        <v>0.73</v>
      </c>
      <c r="N37" s="73">
        <v>0.73</v>
      </c>
      <c r="O37" s="73">
        <v>0.73</v>
      </c>
      <c r="P37" s="73">
        <v>0.73</v>
      </c>
    </row>
    <row r="38" spans="1:16" ht="111" customHeight="1" x14ac:dyDescent="0.25">
      <c r="A38" s="62">
        <v>25</v>
      </c>
      <c r="B38" s="72" t="s">
        <v>206</v>
      </c>
      <c r="C38" s="73">
        <v>1.51</v>
      </c>
      <c r="D38" s="73">
        <v>1.51</v>
      </c>
      <c r="E38" s="73">
        <v>1.5</v>
      </c>
      <c r="F38" s="73">
        <v>1.49</v>
      </c>
      <c r="G38" s="73">
        <v>1.49</v>
      </c>
      <c r="H38" s="74">
        <v>1.48</v>
      </c>
      <c r="I38" s="73">
        <v>1.47</v>
      </c>
      <c r="J38" s="73">
        <v>1.46</v>
      </c>
      <c r="K38" s="73">
        <v>1.46</v>
      </c>
      <c r="L38" s="73">
        <v>1.45</v>
      </c>
      <c r="M38" s="73">
        <v>1.44</v>
      </c>
      <c r="N38" s="73">
        <v>1.44</v>
      </c>
      <c r="O38" s="73">
        <v>1.43</v>
      </c>
      <c r="P38" s="73">
        <v>1.43</v>
      </c>
    </row>
    <row r="39" spans="1:16" ht="177.75" customHeight="1" x14ac:dyDescent="0.25">
      <c r="A39" s="62">
        <v>26</v>
      </c>
      <c r="B39" s="72" t="s">
        <v>207</v>
      </c>
      <c r="C39" s="80">
        <f>854944/263820</f>
        <v>3.2406337654461375</v>
      </c>
      <c r="D39" s="80">
        <f t="shared" ref="D39" si="5">854944/263820</f>
        <v>3.2406337654461375</v>
      </c>
      <c r="E39" s="80">
        <v>3.2410000000000001</v>
      </c>
      <c r="F39" s="80">
        <v>3.2410000000000001</v>
      </c>
      <c r="G39" s="80">
        <v>3.2410000000000001</v>
      </c>
      <c r="H39" s="81">
        <v>3.2410000000000001</v>
      </c>
      <c r="I39" s="80">
        <v>3.2410000000000001</v>
      </c>
      <c r="J39" s="80">
        <v>3.2410000000000001</v>
      </c>
      <c r="K39" s="80">
        <v>3.2410000000000001</v>
      </c>
      <c r="L39" s="80">
        <v>3.2410000000000001</v>
      </c>
      <c r="M39" s="80">
        <v>3.2410000000000001</v>
      </c>
      <c r="N39" s="80">
        <v>3.2410000000000001</v>
      </c>
      <c r="O39" s="80">
        <v>3.2410000000000001</v>
      </c>
      <c r="P39" s="80">
        <v>3.2410000000000001</v>
      </c>
    </row>
    <row r="40" spans="1:16" ht="117.75" customHeight="1" x14ac:dyDescent="0.25">
      <c r="A40" s="62">
        <v>27</v>
      </c>
      <c r="B40" s="63" t="s">
        <v>208</v>
      </c>
      <c r="C40" s="70">
        <v>5</v>
      </c>
      <c r="D40" s="70">
        <v>5</v>
      </c>
      <c r="E40" s="70">
        <v>5</v>
      </c>
      <c r="F40" s="70">
        <v>5</v>
      </c>
      <c r="G40" s="70">
        <v>4</v>
      </c>
      <c r="H40" s="71">
        <v>0</v>
      </c>
      <c r="I40" s="70">
        <v>0</v>
      </c>
      <c r="J40" s="70">
        <v>0</v>
      </c>
      <c r="K40" s="70">
        <v>0</v>
      </c>
      <c r="L40" s="70">
        <v>0</v>
      </c>
      <c r="M40" s="70">
        <v>0</v>
      </c>
      <c r="N40" s="70">
        <v>0</v>
      </c>
      <c r="O40" s="70">
        <v>0</v>
      </c>
      <c r="P40" s="64">
        <v>0</v>
      </c>
    </row>
    <row r="41" spans="1:16" ht="63.75" customHeight="1" x14ac:dyDescent="0.25">
      <c r="A41" s="62">
        <v>28</v>
      </c>
      <c r="B41" s="63" t="s">
        <v>209</v>
      </c>
      <c r="C41" s="70">
        <v>30</v>
      </c>
      <c r="D41" s="70">
        <v>30</v>
      </c>
      <c r="E41" s="70">
        <v>30</v>
      </c>
      <c r="F41" s="70">
        <v>30</v>
      </c>
      <c r="G41" s="70">
        <v>19</v>
      </c>
      <c r="H41" s="71">
        <v>19</v>
      </c>
      <c r="I41" s="70">
        <v>18</v>
      </c>
      <c r="J41" s="70">
        <v>17</v>
      </c>
      <c r="K41" s="70">
        <v>0</v>
      </c>
      <c r="L41" s="70">
        <v>0</v>
      </c>
      <c r="M41" s="70">
        <v>0</v>
      </c>
      <c r="N41" s="70">
        <v>0</v>
      </c>
      <c r="O41" s="70">
        <v>0</v>
      </c>
      <c r="P41" s="64">
        <v>0</v>
      </c>
    </row>
    <row r="42" spans="1:16" ht="84" customHeight="1" x14ac:dyDescent="0.25">
      <c r="A42" s="62">
        <v>29</v>
      </c>
      <c r="B42" s="63" t="s">
        <v>210</v>
      </c>
      <c r="C42" s="70">
        <v>3</v>
      </c>
      <c r="D42" s="70">
        <v>3</v>
      </c>
      <c r="E42" s="70">
        <v>3</v>
      </c>
      <c r="F42" s="70">
        <v>3</v>
      </c>
      <c r="G42" s="70">
        <v>3</v>
      </c>
      <c r="H42" s="71">
        <v>0</v>
      </c>
      <c r="I42" s="70">
        <v>0</v>
      </c>
      <c r="J42" s="70">
        <v>0</v>
      </c>
      <c r="K42" s="70">
        <v>0</v>
      </c>
      <c r="L42" s="70">
        <v>0</v>
      </c>
      <c r="M42" s="70">
        <v>0</v>
      </c>
      <c r="N42" s="70">
        <v>0</v>
      </c>
      <c r="O42" s="70">
        <v>0</v>
      </c>
      <c r="P42" s="64">
        <v>0</v>
      </c>
    </row>
    <row r="43" spans="1:16" ht="47.25" x14ac:dyDescent="0.25">
      <c r="A43" s="62">
        <v>30</v>
      </c>
      <c r="B43" s="63" t="s">
        <v>211</v>
      </c>
      <c r="C43" s="70">
        <v>0</v>
      </c>
      <c r="D43" s="70">
        <v>3</v>
      </c>
      <c r="E43" s="70">
        <v>0</v>
      </c>
      <c r="F43" s="70">
        <v>0</v>
      </c>
      <c r="G43" s="70">
        <v>4</v>
      </c>
      <c r="H43" s="71">
        <v>0</v>
      </c>
      <c r="I43" s="70">
        <v>0</v>
      </c>
      <c r="J43" s="70">
        <v>0</v>
      </c>
      <c r="K43" s="70">
        <v>0</v>
      </c>
      <c r="L43" s="70">
        <v>0</v>
      </c>
      <c r="M43" s="70">
        <v>0</v>
      </c>
      <c r="N43" s="70">
        <v>0</v>
      </c>
      <c r="O43" s="70">
        <v>0</v>
      </c>
      <c r="P43" s="70">
        <v>7</v>
      </c>
    </row>
    <row r="44" spans="1:16" ht="131.25" customHeight="1" x14ac:dyDescent="0.25">
      <c r="A44" s="62">
        <v>31</v>
      </c>
      <c r="B44" s="63" t="s">
        <v>212</v>
      </c>
      <c r="C44" s="70">
        <v>0</v>
      </c>
      <c r="D44" s="67" t="s">
        <v>11</v>
      </c>
      <c r="E44" s="70">
        <v>0</v>
      </c>
      <c r="F44" s="70">
        <v>0</v>
      </c>
      <c r="G44" s="70">
        <v>0</v>
      </c>
      <c r="H44" s="71">
        <v>0</v>
      </c>
      <c r="I44" s="70">
        <v>0</v>
      </c>
      <c r="J44" s="70">
        <v>0</v>
      </c>
      <c r="K44" s="70">
        <v>0</v>
      </c>
      <c r="L44" s="70">
        <v>0</v>
      </c>
      <c r="M44" s="70">
        <v>0</v>
      </c>
      <c r="N44" s="70">
        <v>0</v>
      </c>
      <c r="O44" s="70">
        <v>0</v>
      </c>
      <c r="P44" s="67" t="s">
        <v>11</v>
      </c>
    </row>
    <row r="45" spans="1:16" ht="93.75" customHeight="1" x14ac:dyDescent="0.25">
      <c r="A45" s="62">
        <v>32</v>
      </c>
      <c r="B45" s="63" t="s">
        <v>213</v>
      </c>
      <c r="C45" s="70">
        <v>0</v>
      </c>
      <c r="D45" s="70">
        <v>0</v>
      </c>
      <c r="E45" s="70">
        <v>0</v>
      </c>
      <c r="F45" s="70">
        <v>0</v>
      </c>
      <c r="G45" s="70">
        <v>0</v>
      </c>
      <c r="H45" s="71">
        <v>0</v>
      </c>
      <c r="I45" s="70">
        <v>0</v>
      </c>
      <c r="J45" s="70">
        <v>0</v>
      </c>
      <c r="K45" s="70">
        <v>0</v>
      </c>
      <c r="L45" s="70">
        <v>0</v>
      </c>
      <c r="M45" s="70">
        <v>0</v>
      </c>
      <c r="N45" s="70">
        <v>0</v>
      </c>
      <c r="O45" s="70">
        <v>0</v>
      </c>
      <c r="P45" s="64">
        <v>0</v>
      </c>
    </row>
    <row r="46" spans="1:16" ht="89.25" customHeight="1" x14ac:dyDescent="0.25">
      <c r="A46" s="36" t="s">
        <v>95</v>
      </c>
      <c r="B46" s="63" t="s">
        <v>12</v>
      </c>
      <c r="C46" s="70">
        <v>0</v>
      </c>
      <c r="D46" s="70">
        <v>0</v>
      </c>
      <c r="E46" s="70">
        <v>0</v>
      </c>
      <c r="F46" s="70">
        <v>0</v>
      </c>
      <c r="G46" s="70">
        <v>0</v>
      </c>
      <c r="H46" s="71">
        <v>0</v>
      </c>
      <c r="I46" s="70">
        <v>0</v>
      </c>
      <c r="J46" s="70">
        <v>0</v>
      </c>
      <c r="K46" s="70">
        <v>0</v>
      </c>
      <c r="L46" s="70">
        <v>0</v>
      </c>
      <c r="M46" s="70">
        <v>0</v>
      </c>
      <c r="N46" s="70">
        <v>0</v>
      </c>
      <c r="O46" s="70">
        <v>0</v>
      </c>
      <c r="P46" s="70">
        <v>0</v>
      </c>
    </row>
    <row r="47" spans="1:16" ht="39" customHeight="1" x14ac:dyDescent="0.25">
      <c r="A47" s="36" t="s">
        <v>96</v>
      </c>
      <c r="B47" s="63" t="s">
        <v>13</v>
      </c>
      <c r="C47" s="70">
        <v>0</v>
      </c>
      <c r="D47" s="70">
        <v>0</v>
      </c>
      <c r="E47" s="70">
        <v>24</v>
      </c>
      <c r="F47" s="70">
        <v>0</v>
      </c>
      <c r="G47" s="70">
        <v>0</v>
      </c>
      <c r="H47" s="82" t="s">
        <v>14</v>
      </c>
      <c r="I47" s="70">
        <v>0</v>
      </c>
      <c r="J47" s="70">
        <v>0</v>
      </c>
      <c r="K47" s="70">
        <v>0</v>
      </c>
      <c r="L47" s="70">
        <v>0</v>
      </c>
      <c r="M47" s="70">
        <v>0</v>
      </c>
      <c r="N47" s="70">
        <v>0</v>
      </c>
      <c r="O47" s="70">
        <v>0</v>
      </c>
      <c r="P47" s="70">
        <v>24</v>
      </c>
    </row>
    <row r="48" spans="1:16" ht="163.5" customHeight="1" x14ac:dyDescent="0.25">
      <c r="A48" s="36">
        <v>33</v>
      </c>
      <c r="B48" s="63" t="s">
        <v>214</v>
      </c>
      <c r="C48" s="70">
        <v>3</v>
      </c>
      <c r="D48" s="70">
        <v>0</v>
      </c>
      <c r="E48" s="70">
        <v>0</v>
      </c>
      <c r="F48" s="70">
        <v>0</v>
      </c>
      <c r="G48" s="70">
        <v>0</v>
      </c>
      <c r="H48" s="82" t="s">
        <v>99</v>
      </c>
      <c r="I48" s="70">
        <v>2</v>
      </c>
      <c r="J48" s="70">
        <v>2</v>
      </c>
      <c r="K48" s="70">
        <v>2</v>
      </c>
      <c r="L48" s="70">
        <v>2</v>
      </c>
      <c r="M48" s="70">
        <v>2</v>
      </c>
      <c r="N48" s="70">
        <v>2</v>
      </c>
      <c r="O48" s="70">
        <v>2</v>
      </c>
      <c r="P48" s="70">
        <v>2</v>
      </c>
    </row>
    <row r="49" spans="1:13" x14ac:dyDescent="0.25">
      <c r="A49" s="83"/>
      <c r="B49" s="83"/>
      <c r="C49" s="83"/>
      <c r="D49" s="83"/>
      <c r="E49" s="83"/>
      <c r="F49" s="83"/>
      <c r="G49" s="83"/>
      <c r="H49" s="84"/>
      <c r="I49" s="83"/>
      <c r="J49" s="83"/>
      <c r="K49" s="83"/>
      <c r="L49" s="83"/>
      <c r="M49" s="83"/>
    </row>
    <row r="50" spans="1:13" x14ac:dyDescent="0.25">
      <c r="A50" s="85"/>
      <c r="B50" s="85"/>
      <c r="C50" s="85"/>
      <c r="D50" s="85"/>
      <c r="E50" s="85"/>
      <c r="F50" s="85"/>
      <c r="G50" s="85"/>
      <c r="H50" s="39"/>
      <c r="I50" s="85"/>
      <c r="J50" s="85"/>
      <c r="K50" s="85"/>
      <c r="L50" s="85"/>
      <c r="M50" s="85"/>
    </row>
    <row r="51" spans="1:13" x14ac:dyDescent="0.25">
      <c r="A51" s="213" t="s">
        <v>215</v>
      </c>
      <c r="B51" s="213"/>
      <c r="C51" s="213"/>
      <c r="D51" s="213"/>
      <c r="E51" s="213"/>
      <c r="F51" s="213"/>
      <c r="G51" s="213"/>
      <c r="H51" s="213"/>
      <c r="I51" s="213"/>
      <c r="J51" s="213"/>
      <c r="K51" s="213"/>
      <c r="L51" s="213"/>
      <c r="M51" s="213"/>
    </row>
    <row r="52" spans="1:13" ht="37.5" customHeight="1" x14ac:dyDescent="0.25">
      <c r="A52" s="218" t="s">
        <v>216</v>
      </c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</row>
    <row r="53" spans="1:13" x14ac:dyDescent="0.25">
      <c r="A53" s="213" t="s">
        <v>217</v>
      </c>
      <c r="B53" s="213"/>
      <c r="C53" s="213"/>
      <c r="D53" s="213"/>
      <c r="E53" s="213"/>
      <c r="F53" s="213"/>
      <c r="G53" s="213"/>
      <c r="H53" s="213"/>
      <c r="I53" s="213"/>
      <c r="J53" s="213"/>
      <c r="K53" s="213"/>
      <c r="L53" s="213"/>
      <c r="M53" s="213"/>
    </row>
    <row r="54" spans="1:13" ht="39" customHeight="1" x14ac:dyDescent="0.25">
      <c r="A54" s="218" t="s">
        <v>218</v>
      </c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</row>
    <row r="55" spans="1:13" ht="53.25" customHeight="1" x14ac:dyDescent="0.25">
      <c r="A55" s="218" t="s">
        <v>219</v>
      </c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</row>
    <row r="56" spans="1:13" x14ac:dyDescent="0.25">
      <c r="A56" s="213" t="s">
        <v>220</v>
      </c>
      <c r="B56" s="213"/>
      <c r="C56" s="213"/>
      <c r="D56" s="213"/>
      <c r="E56" s="213"/>
      <c r="F56" s="213"/>
      <c r="G56" s="213"/>
      <c r="H56" s="213"/>
      <c r="I56" s="213"/>
      <c r="J56" s="213"/>
      <c r="K56" s="213"/>
      <c r="L56" s="213"/>
      <c r="M56" s="213"/>
    </row>
    <row r="57" spans="1:13" x14ac:dyDescent="0.25">
      <c r="A57" s="213" t="s">
        <v>221</v>
      </c>
      <c r="B57" s="213"/>
      <c r="C57" s="213"/>
      <c r="D57" s="213"/>
      <c r="E57" s="213"/>
      <c r="F57" s="213"/>
      <c r="G57" s="213"/>
      <c r="H57" s="213"/>
      <c r="I57" s="213"/>
      <c r="J57" s="213"/>
      <c r="K57" s="213"/>
      <c r="L57" s="213"/>
      <c r="M57" s="213"/>
    </row>
    <row r="58" spans="1:13" x14ac:dyDescent="0.25">
      <c r="A58" s="213" t="s">
        <v>222</v>
      </c>
      <c r="B58" s="213"/>
      <c r="C58" s="213"/>
      <c r="D58" s="213"/>
      <c r="E58" s="213"/>
      <c r="F58" s="213"/>
      <c r="G58" s="213"/>
      <c r="H58" s="213"/>
      <c r="I58" s="213"/>
      <c r="J58" s="213"/>
      <c r="K58" s="213"/>
      <c r="L58" s="213"/>
      <c r="M58" s="213"/>
    </row>
    <row r="59" spans="1:13" x14ac:dyDescent="0.25">
      <c r="A59" s="213" t="s">
        <v>223</v>
      </c>
      <c r="B59" s="213"/>
      <c r="C59" s="213"/>
      <c r="D59" s="213"/>
      <c r="E59" s="213"/>
      <c r="F59" s="213"/>
      <c r="G59" s="213"/>
      <c r="H59" s="213"/>
      <c r="I59" s="213"/>
      <c r="J59" s="213"/>
      <c r="K59" s="213"/>
      <c r="L59" s="213"/>
      <c r="M59" s="213"/>
    </row>
    <row r="60" spans="1:13" x14ac:dyDescent="0.25">
      <c r="A60" s="213" t="s">
        <v>224</v>
      </c>
      <c r="B60" s="213"/>
      <c r="C60" s="213"/>
      <c r="D60" s="213"/>
      <c r="E60" s="213"/>
      <c r="F60" s="213"/>
      <c r="G60" s="213"/>
      <c r="H60" s="213"/>
      <c r="I60" s="213"/>
      <c r="J60" s="213"/>
      <c r="K60" s="213"/>
      <c r="L60" s="213"/>
      <c r="M60" s="213"/>
    </row>
    <row r="61" spans="1:13" x14ac:dyDescent="0.25">
      <c r="A61" s="213" t="s">
        <v>225</v>
      </c>
      <c r="B61" s="213"/>
      <c r="C61" s="213"/>
      <c r="D61" s="213"/>
      <c r="E61" s="213"/>
      <c r="F61" s="213"/>
      <c r="G61" s="213"/>
      <c r="H61" s="213"/>
      <c r="I61" s="213"/>
      <c r="J61" s="213"/>
      <c r="K61" s="213"/>
      <c r="L61" s="213"/>
      <c r="M61" s="213"/>
    </row>
    <row r="62" spans="1:13" ht="62.25" customHeight="1" x14ac:dyDescent="0.25">
      <c r="A62" s="214" t="s">
        <v>294</v>
      </c>
      <c r="B62" s="215"/>
      <c r="C62" s="215"/>
      <c r="D62" s="215"/>
      <c r="E62" s="215"/>
      <c r="F62" s="215"/>
      <c r="G62" s="215"/>
      <c r="H62" s="215"/>
      <c r="I62" s="215"/>
      <c r="J62" s="215"/>
      <c r="K62" s="215"/>
      <c r="L62" s="215"/>
      <c r="M62" s="215"/>
    </row>
    <row r="63" spans="1:13" x14ac:dyDescent="0.25">
      <c r="A63" s="212"/>
      <c r="B63" s="212"/>
      <c r="C63" s="212"/>
      <c r="D63" s="212"/>
      <c r="E63" s="212"/>
      <c r="F63" s="212"/>
      <c r="G63" s="212"/>
      <c r="H63" s="212"/>
      <c r="I63" s="212"/>
      <c r="J63" s="212"/>
      <c r="K63" s="212"/>
      <c r="L63" s="212"/>
      <c r="M63" s="212"/>
    </row>
    <row r="64" spans="1:13" x14ac:dyDescent="0.25">
      <c r="A64" s="212"/>
      <c r="B64" s="212"/>
      <c r="C64" s="212"/>
      <c r="D64" s="212"/>
      <c r="E64" s="212"/>
      <c r="F64" s="212"/>
      <c r="G64" s="212"/>
      <c r="H64" s="212"/>
      <c r="I64" s="212"/>
      <c r="J64" s="212"/>
      <c r="K64" s="212"/>
      <c r="L64" s="212"/>
      <c r="M64" s="212"/>
    </row>
    <row r="65" spans="1:13" x14ac:dyDescent="0.25">
      <c r="A65" s="212"/>
      <c r="B65" s="212"/>
      <c r="C65" s="212"/>
      <c r="D65" s="212"/>
      <c r="E65" s="212"/>
      <c r="F65" s="212"/>
      <c r="G65" s="212"/>
      <c r="H65" s="212"/>
      <c r="I65" s="212"/>
      <c r="J65" s="212"/>
      <c r="K65" s="212"/>
      <c r="L65" s="212"/>
      <c r="M65" s="212"/>
    </row>
    <row r="66" spans="1:13" x14ac:dyDescent="0.25">
      <c r="A66" s="207"/>
      <c r="B66" s="207"/>
      <c r="C66" s="207"/>
      <c r="D66" s="207"/>
      <c r="E66" s="207"/>
      <c r="F66" s="207"/>
      <c r="G66" s="207"/>
      <c r="H66" s="207"/>
      <c r="I66" s="207"/>
      <c r="J66" s="207"/>
      <c r="K66" s="207"/>
      <c r="L66" s="207"/>
      <c r="M66" s="207"/>
    </row>
  </sheetData>
  <mergeCells count="23">
    <mergeCell ref="A56:M56"/>
    <mergeCell ref="O3:P3"/>
    <mergeCell ref="A8:M9"/>
    <mergeCell ref="A11:A12"/>
    <mergeCell ref="B11:B12"/>
    <mergeCell ref="C11:C12"/>
    <mergeCell ref="D11:K11"/>
    <mergeCell ref="P11:P12"/>
    <mergeCell ref="A51:M51"/>
    <mergeCell ref="A52:M52"/>
    <mergeCell ref="A53:M53"/>
    <mergeCell ref="A54:M54"/>
    <mergeCell ref="A55:M55"/>
    <mergeCell ref="A66:M66"/>
    <mergeCell ref="A63:M63"/>
    <mergeCell ref="A64:M64"/>
    <mergeCell ref="A65:M65"/>
    <mergeCell ref="A57:M57"/>
    <mergeCell ref="A58:M58"/>
    <mergeCell ref="A59:M59"/>
    <mergeCell ref="A60:M60"/>
    <mergeCell ref="A61:M61"/>
    <mergeCell ref="A62:M62"/>
  </mergeCells>
  <printOptions horizontalCentered="1"/>
  <pageMargins left="0.31496062992125984" right="0.31496062992125984" top="0.69062500000000004" bottom="0.35433070866141736" header="0" footer="0"/>
  <pageSetup paperSize="9" scale="65" firstPageNumber="17" fitToHeight="12" pageOrder="overThenDown" orientation="landscape" useFirstPageNumber="1" r:id="rId1"/>
  <headerFooter differentOddEven="1">
    <oddHeader>&amp;C&amp;"Times New Roman,обычный"
&amp;P</oddHeader>
    <evenHeader>&amp;C&amp;"Times New Roman,обычный"
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 (таблица 1)</vt:lpstr>
      <vt:lpstr>Приложение 2 (таблица 2)</vt:lpstr>
      <vt:lpstr>Приложение 3 (таблица 3) </vt:lpstr>
      <vt:lpstr>Приложение 4 (таблица 6)</vt:lpstr>
      <vt:lpstr>'Приложение 2 (таблица 2)'!Заголовки_для_печати</vt:lpstr>
      <vt:lpstr>'Приложение 3 (таблица 3) '!Заголовки_для_печати</vt:lpstr>
      <vt:lpstr>'Приложение 4 (таблица 6)'!Заголовки_для_печати</vt:lpstr>
      <vt:lpstr>'Приложение 1 (таблица 1)'!Область_печати</vt:lpstr>
      <vt:lpstr>'Приложение 2 (таблица 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2023-07-19T04:57:33Z</dcterms:modified>
</cp:coreProperties>
</file>